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imch\OneDrive\바탕 화면\snuvalue\my 보고서\"/>
    </mc:Choice>
  </mc:AlternateContent>
  <xr:revisionPtr revIDLastSave="0" documentId="13_ncr:1_{0B11092D-5F1F-414F-B073-0E12153FE67C}" xr6:coauthVersionLast="36" xr6:coauthVersionMax="36" xr10:uidLastSave="{00000000-0000-0000-0000-000000000000}"/>
  <bookViews>
    <workbookView xWindow="0" yWindow="0" windowWidth="23040" windowHeight="7644" activeTab="1" xr2:uid="{AE6EC69D-C14C-40CD-989D-AB93522E316D}"/>
  </bookViews>
  <sheets>
    <sheet name="report" sheetId="4" r:id="rId1"/>
    <sheet name="financial data" sheetId="3" r:id="rId2"/>
    <sheet name="appendix1. 플랫폼 별 특징" sheetId="6" r:id="rId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Q31" i="3" l="1"/>
  <c r="R31" i="3"/>
  <c r="S31" i="3"/>
  <c r="T31" i="3"/>
  <c r="U31" i="3"/>
  <c r="V31" i="3"/>
  <c r="W31" i="3"/>
  <c r="R30" i="3"/>
  <c r="S30" i="3"/>
  <c r="T30" i="3"/>
  <c r="U30" i="3"/>
  <c r="V30" i="3"/>
  <c r="W30" i="3"/>
  <c r="Q30" i="3"/>
  <c r="R29" i="3"/>
  <c r="S29" i="3"/>
  <c r="T29" i="3"/>
  <c r="U29" i="3"/>
  <c r="V29" i="3"/>
  <c r="W29" i="3"/>
  <c r="Q29" i="3"/>
  <c r="W28" i="3"/>
  <c r="V28" i="3"/>
  <c r="U28" i="3"/>
  <c r="T28" i="3"/>
  <c r="S28" i="3"/>
  <c r="R28" i="3"/>
  <c r="Q28" i="3"/>
  <c r="F94" i="3" l="1"/>
  <c r="F93" i="3"/>
  <c r="F92" i="3"/>
  <c r="F91" i="3"/>
  <c r="F90" i="3"/>
  <c r="F89" i="3"/>
  <c r="F88" i="3"/>
  <c r="F87" i="3"/>
  <c r="F86" i="3"/>
  <c r="F85" i="3"/>
  <c r="F84" i="3"/>
  <c r="F83" i="3"/>
  <c r="F82" i="3"/>
  <c r="F81" i="3"/>
  <c r="F80" i="3"/>
  <c r="F79" i="3"/>
  <c r="F78" i="3"/>
  <c r="AD69" i="3"/>
  <c r="AC68" i="3"/>
  <c r="AB68" i="3"/>
  <c r="AA68" i="3"/>
  <c r="Z68" i="3"/>
  <c r="Y68" i="3"/>
  <c r="X68" i="3"/>
  <c r="W68" i="3"/>
  <c r="V68" i="3"/>
  <c r="U68" i="3"/>
  <c r="T68" i="3"/>
  <c r="S68" i="3"/>
  <c r="R68" i="3"/>
  <c r="Q68" i="3"/>
  <c r="P68" i="3"/>
  <c r="O68" i="3"/>
  <c r="N68" i="3"/>
  <c r="M68" i="3"/>
  <c r="L68" i="3"/>
  <c r="K68" i="3"/>
  <c r="J68" i="3"/>
  <c r="I68" i="3"/>
  <c r="H68" i="3"/>
  <c r="G68" i="3"/>
  <c r="F68" i="3"/>
  <c r="E68" i="3"/>
  <c r="D68" i="3"/>
  <c r="AC67" i="3"/>
  <c r="AB67" i="3"/>
  <c r="AA67" i="3"/>
  <c r="Z67" i="3"/>
  <c r="Y67" i="3"/>
  <c r="X67" i="3"/>
  <c r="W67" i="3"/>
  <c r="V67" i="3"/>
  <c r="U67" i="3"/>
  <c r="T67" i="3"/>
  <c r="S67" i="3"/>
  <c r="R67" i="3"/>
  <c r="Q67" i="3"/>
  <c r="P67" i="3"/>
  <c r="O67" i="3"/>
  <c r="N67" i="3"/>
  <c r="M67" i="3"/>
  <c r="L67" i="3"/>
  <c r="K67" i="3"/>
  <c r="J67" i="3"/>
  <c r="I67" i="3"/>
  <c r="H67" i="3"/>
  <c r="G67" i="3"/>
  <c r="F67" i="3"/>
  <c r="E67" i="3"/>
  <c r="D67" i="3"/>
  <c r="C67" i="3"/>
  <c r="AD66" i="3"/>
  <c r="AD68" i="3" s="1"/>
  <c r="AC65" i="3"/>
  <c r="AB65" i="3"/>
  <c r="AA65" i="3"/>
  <c r="Z65" i="3"/>
  <c r="Y65" i="3"/>
  <c r="X65" i="3"/>
  <c r="W65" i="3"/>
  <c r="V65" i="3"/>
  <c r="U65" i="3"/>
  <c r="T65" i="3"/>
  <c r="S65" i="3"/>
  <c r="R65" i="3"/>
  <c r="Q65" i="3"/>
  <c r="P65" i="3"/>
  <c r="O65" i="3"/>
  <c r="N65" i="3"/>
  <c r="M65" i="3"/>
  <c r="L65" i="3"/>
  <c r="K65" i="3"/>
  <c r="J65" i="3"/>
  <c r="I65" i="3"/>
  <c r="H65" i="3"/>
  <c r="G65" i="3"/>
  <c r="F65" i="3"/>
  <c r="E65" i="3"/>
  <c r="D65" i="3"/>
  <c r="AC64" i="3"/>
  <c r="AB64" i="3"/>
  <c r="AA64" i="3"/>
  <c r="Z64" i="3"/>
  <c r="Y64" i="3"/>
  <c r="X64" i="3"/>
  <c r="W64" i="3"/>
  <c r="V64" i="3"/>
  <c r="U64" i="3"/>
  <c r="T64" i="3"/>
  <c r="S64" i="3"/>
  <c r="R64" i="3"/>
  <c r="Q64" i="3"/>
  <c r="P64" i="3"/>
  <c r="O64" i="3"/>
  <c r="N64" i="3"/>
  <c r="M64" i="3"/>
  <c r="L64" i="3"/>
  <c r="K64" i="3"/>
  <c r="J64" i="3"/>
  <c r="I64" i="3"/>
  <c r="H64" i="3"/>
  <c r="G64" i="3"/>
  <c r="F64" i="3"/>
  <c r="E64" i="3"/>
  <c r="D64" i="3"/>
  <c r="C64" i="3"/>
  <c r="AD63" i="3"/>
  <c r="AD64" i="3" s="1"/>
  <c r="AA62" i="3"/>
  <c r="W62" i="3"/>
  <c r="T62" i="3"/>
  <c r="S62" i="3"/>
  <c r="O62" i="3"/>
  <c r="M62" i="3"/>
  <c r="K62" i="3"/>
  <c r="G62" i="3"/>
  <c r="C62" i="3"/>
  <c r="AB61" i="3"/>
  <c r="AA61" i="3"/>
  <c r="W61" i="3"/>
  <c r="U61" i="3"/>
  <c r="S61" i="3"/>
  <c r="O61" i="3"/>
  <c r="K61" i="3"/>
  <c r="H61" i="3"/>
  <c r="G61" i="3"/>
  <c r="C61" i="3"/>
  <c r="AA58" i="3"/>
  <c r="W58" i="3"/>
  <c r="S58" i="3"/>
  <c r="O58" i="3"/>
  <c r="L58" i="3"/>
  <c r="K58" i="3"/>
  <c r="G58" i="3"/>
  <c r="C58" i="3"/>
  <c r="AB56" i="3"/>
  <c r="AC56" i="3" s="1"/>
  <c r="X56" i="3"/>
  <c r="X62" i="3" s="1"/>
  <c r="U56" i="3"/>
  <c r="V56" i="3" s="1"/>
  <c r="V62" i="3" s="1"/>
  <c r="T56" i="3"/>
  <c r="Q56" i="3"/>
  <c r="Q62" i="3" s="1"/>
  <c r="P56" i="3"/>
  <c r="P62" i="3" s="1"/>
  <c r="N56" i="3"/>
  <c r="N62" i="3" s="1"/>
  <c r="M56" i="3"/>
  <c r="L56" i="3"/>
  <c r="L62" i="3" s="1"/>
  <c r="H56" i="3"/>
  <c r="I56" i="3" s="1"/>
  <c r="D56" i="3"/>
  <c r="D62" i="3" s="1"/>
  <c r="AC55" i="3"/>
  <c r="AD55" i="3" s="1"/>
  <c r="AD61" i="3" s="1"/>
  <c r="AB55" i="3"/>
  <c r="Y55" i="3"/>
  <c r="Y61" i="3" s="1"/>
  <c r="X55" i="3"/>
  <c r="X61" i="3" s="1"/>
  <c r="V55" i="3"/>
  <c r="V61" i="3" s="1"/>
  <c r="U55" i="3"/>
  <c r="T55" i="3"/>
  <c r="T61" i="3" s="1"/>
  <c r="P55" i="3"/>
  <c r="Q55" i="3" s="1"/>
  <c r="L55" i="3"/>
  <c r="L61" i="3" s="1"/>
  <c r="I55" i="3"/>
  <c r="J55" i="3" s="1"/>
  <c r="J61" i="3" s="1"/>
  <c r="H55" i="3"/>
  <c r="E55" i="3"/>
  <c r="E61" i="3" s="1"/>
  <c r="D55" i="3"/>
  <c r="D61" i="3" s="1"/>
  <c r="G53" i="3"/>
  <c r="AA51" i="3"/>
  <c r="X51" i="3"/>
  <c r="X52" i="3" s="1"/>
  <c r="W51" i="3"/>
  <c r="W59" i="3" s="1"/>
  <c r="S51" i="3"/>
  <c r="Q51" i="3"/>
  <c r="P51" i="3"/>
  <c r="P52" i="3" s="1"/>
  <c r="O51" i="3"/>
  <c r="O59" i="3" s="1"/>
  <c r="L51" i="3"/>
  <c r="K51" i="3"/>
  <c r="I51" i="3"/>
  <c r="G51" i="3"/>
  <c r="C51" i="3"/>
  <c r="C59" i="3" s="1"/>
  <c r="AD50" i="3"/>
  <c r="AC50" i="3"/>
  <c r="AC58" i="3" s="1"/>
  <c r="AB50" i="3"/>
  <c r="X50" i="3"/>
  <c r="T50" i="3"/>
  <c r="T58" i="3" s="1"/>
  <c r="Q50" i="3"/>
  <c r="P50" i="3"/>
  <c r="P58" i="3" s="1"/>
  <c r="M50" i="3"/>
  <c r="L50" i="3"/>
  <c r="J50" i="3"/>
  <c r="I50" i="3"/>
  <c r="I58" i="3" s="1"/>
  <c r="H50" i="3"/>
  <c r="D50" i="3"/>
  <c r="AC49" i="3"/>
  <c r="AB49" i="3"/>
  <c r="AA49" i="3"/>
  <c r="Z49" i="3"/>
  <c r="Y49" i="3"/>
  <c r="X49" i="3"/>
  <c r="W49" i="3"/>
  <c r="V49" i="3"/>
  <c r="U49" i="3"/>
  <c r="T49" i="3"/>
  <c r="S49" i="3"/>
  <c r="R49" i="3"/>
  <c r="Q49" i="3"/>
  <c r="P49" i="3"/>
  <c r="O49" i="3"/>
  <c r="N49" i="3"/>
  <c r="M49" i="3"/>
  <c r="L49" i="3"/>
  <c r="K49" i="3"/>
  <c r="J49" i="3"/>
  <c r="I49" i="3"/>
  <c r="H49" i="3"/>
  <c r="G49" i="3"/>
  <c r="F49" i="3"/>
  <c r="E49" i="3"/>
  <c r="D49" i="3"/>
  <c r="AD48" i="3"/>
  <c r="AD49" i="3" s="1"/>
  <c r="N41" i="3"/>
  <c r="O41" i="3" s="1"/>
  <c r="P41" i="3" s="1"/>
  <c r="Q41" i="3" s="1"/>
  <c r="R41" i="3" s="1"/>
  <c r="S41" i="3" s="1"/>
  <c r="T41" i="3" s="1"/>
  <c r="U41" i="3" s="1"/>
  <c r="V41" i="3" s="1"/>
  <c r="W41" i="3" s="1"/>
  <c r="M41" i="3"/>
  <c r="W37" i="3"/>
  <c r="V37" i="3"/>
  <c r="U37" i="3"/>
  <c r="T37" i="3"/>
  <c r="S37" i="3"/>
  <c r="R37" i="3"/>
  <c r="Q37" i="3"/>
  <c r="P37" i="3"/>
  <c r="O37" i="3"/>
  <c r="N37" i="3"/>
  <c r="M37" i="3"/>
  <c r="L37" i="3"/>
  <c r="K37" i="3"/>
  <c r="J37" i="3"/>
  <c r="I37" i="3"/>
  <c r="H37" i="3"/>
  <c r="G37" i="3"/>
  <c r="F37" i="3"/>
  <c r="E37" i="3"/>
  <c r="D37" i="3"/>
  <c r="W36" i="3"/>
  <c r="V36" i="3"/>
  <c r="U36" i="3"/>
  <c r="T36" i="3"/>
  <c r="S36" i="3"/>
  <c r="R36" i="3"/>
  <c r="Q36" i="3"/>
  <c r="P36" i="3"/>
  <c r="O36" i="3"/>
  <c r="N36" i="3"/>
  <c r="M36" i="3"/>
  <c r="L36" i="3"/>
  <c r="K36" i="3"/>
  <c r="J36" i="3"/>
  <c r="I36" i="3"/>
  <c r="H36" i="3"/>
  <c r="G36" i="3"/>
  <c r="F36" i="3"/>
  <c r="E36" i="3"/>
  <c r="D36" i="3"/>
  <c r="C36" i="3"/>
  <c r="W34" i="3"/>
  <c r="V34" i="3"/>
  <c r="U34" i="3"/>
  <c r="T34" i="3"/>
  <c r="S34" i="3"/>
  <c r="R34" i="3"/>
  <c r="Q34" i="3"/>
  <c r="P34" i="3"/>
  <c r="O34" i="3"/>
  <c r="N34" i="3"/>
  <c r="M34" i="3"/>
  <c r="L34" i="3"/>
  <c r="K34" i="3"/>
  <c r="J34" i="3"/>
  <c r="I34" i="3"/>
  <c r="H34" i="3"/>
  <c r="G34" i="3"/>
  <c r="F34" i="3"/>
  <c r="E34" i="3"/>
  <c r="D34" i="3"/>
  <c r="W33" i="3"/>
  <c r="V33" i="3"/>
  <c r="U33" i="3"/>
  <c r="T33" i="3"/>
  <c r="S33" i="3"/>
  <c r="R33" i="3"/>
  <c r="Q33" i="3"/>
  <c r="P33" i="3"/>
  <c r="O33" i="3"/>
  <c r="N33" i="3"/>
  <c r="M33" i="3"/>
  <c r="L33" i="3"/>
  <c r="K33" i="3"/>
  <c r="J33" i="3"/>
  <c r="I33" i="3"/>
  <c r="H33" i="3"/>
  <c r="G33" i="3"/>
  <c r="F33" i="3"/>
  <c r="E33" i="3"/>
  <c r="D33" i="3"/>
  <c r="C33" i="3"/>
  <c r="W27" i="3"/>
  <c r="V27" i="3"/>
  <c r="U27" i="3"/>
  <c r="T27" i="3"/>
  <c r="S27" i="3"/>
  <c r="R27" i="3"/>
  <c r="Q27" i="3"/>
  <c r="P27" i="3"/>
  <c r="O27" i="3"/>
  <c r="N27" i="3"/>
  <c r="M27" i="3"/>
  <c r="L27" i="3"/>
  <c r="K27" i="3"/>
  <c r="J27" i="3"/>
  <c r="I27" i="3"/>
  <c r="H27" i="3"/>
  <c r="G27" i="3"/>
  <c r="F27" i="3"/>
  <c r="E27" i="3"/>
  <c r="D27" i="3"/>
  <c r="O25" i="3"/>
  <c r="P25" i="3" s="1"/>
  <c r="Q25" i="3" s="1"/>
  <c r="R25" i="3" s="1"/>
  <c r="S25" i="3" s="1"/>
  <c r="T25" i="3" s="1"/>
  <c r="U25" i="3" s="1"/>
  <c r="V25" i="3" s="1"/>
  <c r="W25" i="3" s="1"/>
  <c r="N25" i="3"/>
  <c r="M25" i="3"/>
  <c r="E50" i="3" l="1"/>
  <c r="D58" i="3"/>
  <c r="D51" i="3"/>
  <c r="F50" i="3"/>
  <c r="D53" i="3"/>
  <c r="R51" i="3"/>
  <c r="Q59" i="3"/>
  <c r="Q52" i="3"/>
  <c r="K52" i="3"/>
  <c r="R50" i="3"/>
  <c r="Q58" i="3"/>
  <c r="AD58" i="3"/>
  <c r="L59" i="3"/>
  <c r="L52" i="3"/>
  <c r="G60" i="3"/>
  <c r="I62" i="3"/>
  <c r="J56" i="3"/>
  <c r="J62" i="3" s="1"/>
  <c r="AB53" i="3"/>
  <c r="I52" i="3"/>
  <c r="AB51" i="3"/>
  <c r="AA59" i="3"/>
  <c r="S52" i="3"/>
  <c r="AA53" i="3"/>
  <c r="AC62" i="3"/>
  <c r="AD56" i="3"/>
  <c r="AD62" i="3" s="1"/>
  <c r="J58" i="3"/>
  <c r="J51" i="3"/>
  <c r="J53" i="3" s="1"/>
  <c r="L53" i="3"/>
  <c r="Q61" i="3"/>
  <c r="R55" i="3"/>
  <c r="R61" i="3" s="1"/>
  <c r="Y50" i="3"/>
  <c r="X58" i="3"/>
  <c r="X53" i="3"/>
  <c r="G59" i="3"/>
  <c r="Q53" i="3"/>
  <c r="X59" i="3"/>
  <c r="AD67" i="3"/>
  <c r="N50" i="3"/>
  <c r="U50" i="3"/>
  <c r="T51" i="3"/>
  <c r="Y51" i="3"/>
  <c r="O53" i="3"/>
  <c r="F55" i="3"/>
  <c r="F61" i="3" s="1"/>
  <c r="M55" i="3"/>
  <c r="M61" i="3" s="1"/>
  <c r="Z55" i="3"/>
  <c r="Z61" i="3" s="1"/>
  <c r="E56" i="3"/>
  <c r="R56" i="3"/>
  <c r="R62" i="3" s="1"/>
  <c r="Y56" i="3"/>
  <c r="H58" i="3"/>
  <c r="M58" i="3"/>
  <c r="AB58" i="3"/>
  <c r="I61" i="3"/>
  <c r="AC61" i="3"/>
  <c r="U62" i="3"/>
  <c r="AD65" i="3"/>
  <c r="I53" i="3"/>
  <c r="S53" i="3"/>
  <c r="I59" i="3"/>
  <c r="S59" i="3"/>
  <c r="K53" i="3"/>
  <c r="P53" i="3"/>
  <c r="K59" i="3"/>
  <c r="P59" i="3"/>
  <c r="P61" i="3"/>
  <c r="H62" i="3"/>
  <c r="AB62" i="3"/>
  <c r="H51" i="3"/>
  <c r="M51" i="3"/>
  <c r="M53" i="3" s="1"/>
  <c r="C53" i="3"/>
  <c r="C60" i="3" s="1"/>
  <c r="W53" i="3"/>
  <c r="M60" i="3" l="1"/>
  <c r="M54" i="3"/>
  <c r="J60" i="3"/>
  <c r="J54" i="3"/>
  <c r="Z56" i="3"/>
  <c r="Z62" i="3" s="1"/>
  <c r="Y62" i="3"/>
  <c r="U51" i="3"/>
  <c r="T59" i="3"/>
  <c r="T52" i="3"/>
  <c r="Q60" i="3"/>
  <c r="Q54" i="3"/>
  <c r="Y58" i="3"/>
  <c r="Y53" i="3"/>
  <c r="Z50" i="3"/>
  <c r="W60" i="3"/>
  <c r="P54" i="3"/>
  <c r="P60" i="3"/>
  <c r="I60" i="3"/>
  <c r="I54" i="3"/>
  <c r="F56" i="3"/>
  <c r="F62" i="3" s="1"/>
  <c r="E62" i="3"/>
  <c r="O60" i="3"/>
  <c r="N58" i="3"/>
  <c r="AB60" i="3"/>
  <c r="AB54" i="3"/>
  <c r="R53" i="3"/>
  <c r="R58" i="3"/>
  <c r="D60" i="3"/>
  <c r="D54" i="3"/>
  <c r="K54" i="3"/>
  <c r="K60" i="3"/>
  <c r="X60" i="3"/>
  <c r="X54" i="3"/>
  <c r="L54" i="3"/>
  <c r="L60" i="3"/>
  <c r="AB59" i="3"/>
  <c r="AB52" i="3"/>
  <c r="AC51" i="3"/>
  <c r="F58" i="3"/>
  <c r="F51" i="3"/>
  <c r="M59" i="3"/>
  <c r="N51" i="3"/>
  <c r="M52" i="3"/>
  <c r="Z51" i="3"/>
  <c r="Y59" i="3"/>
  <c r="Y52" i="3"/>
  <c r="J59" i="3"/>
  <c r="J52" i="3"/>
  <c r="AA60" i="3"/>
  <c r="D52" i="3"/>
  <c r="D59" i="3"/>
  <c r="H59" i="3"/>
  <c r="H52" i="3"/>
  <c r="N55" i="3"/>
  <c r="N61" i="3" s="1"/>
  <c r="S60" i="3"/>
  <c r="T53" i="3"/>
  <c r="U58" i="3"/>
  <c r="U53" i="3"/>
  <c r="V50" i="3"/>
  <c r="H53" i="3"/>
  <c r="R59" i="3"/>
  <c r="R52" i="3"/>
  <c r="E58" i="3"/>
  <c r="E53" i="3"/>
  <c r="E51" i="3"/>
  <c r="E60" i="3" l="1"/>
  <c r="E54" i="3"/>
  <c r="V58" i="3"/>
  <c r="U54" i="3"/>
  <c r="U60" i="3"/>
  <c r="F52" i="3"/>
  <c r="F59" i="3"/>
  <c r="G52" i="3"/>
  <c r="R60" i="3"/>
  <c r="R54" i="3"/>
  <c r="Z58" i="3"/>
  <c r="Z53" i="3"/>
  <c r="Z52" i="3"/>
  <c r="Z59" i="3"/>
  <c r="AA52" i="3"/>
  <c r="F53" i="3"/>
  <c r="Y60" i="3"/>
  <c r="Y54" i="3"/>
  <c r="T60" i="3"/>
  <c r="T54" i="3"/>
  <c r="U52" i="3"/>
  <c r="U59" i="3"/>
  <c r="V51" i="3"/>
  <c r="E59" i="3"/>
  <c r="E52" i="3"/>
  <c r="H60" i="3"/>
  <c r="H54" i="3"/>
  <c r="S54" i="3"/>
  <c r="N52" i="3"/>
  <c r="N59" i="3"/>
  <c r="O52" i="3"/>
  <c r="AC52" i="3"/>
  <c r="AC59" i="3"/>
  <c r="AC53" i="3"/>
  <c r="AD51" i="3"/>
  <c r="N53" i="3"/>
  <c r="AC60" i="3" l="1"/>
  <c r="AC54" i="3"/>
  <c r="V59" i="3"/>
  <c r="V52" i="3"/>
  <c r="W52" i="3"/>
  <c r="V53" i="3"/>
  <c r="Z54" i="3"/>
  <c r="Z60" i="3"/>
  <c r="AA54" i="3"/>
  <c r="N60" i="3"/>
  <c r="N54" i="3"/>
  <c r="O54" i="3"/>
  <c r="F54" i="3"/>
  <c r="F60" i="3"/>
  <c r="G54" i="3"/>
  <c r="AD59" i="3"/>
  <c r="AD52" i="3"/>
  <c r="AD53" i="3"/>
  <c r="AD60" i="3" l="1"/>
  <c r="AD54" i="3"/>
  <c r="V54" i="3"/>
  <c r="V60" i="3"/>
  <c r="W54" i="3"/>
</calcChain>
</file>

<file path=xl/sharedStrings.xml><?xml version="1.0" encoding="utf-8"?>
<sst xmlns="http://schemas.openxmlformats.org/spreadsheetml/2006/main" count="555" uniqueCount="534">
  <si>
    <t>현재 주가: 8309JPY(7/25기준)</t>
    <phoneticPr fontId="2" type="noConversion"/>
  </si>
  <si>
    <t>시총: 10.79조 엔 = 97.8조 원</t>
    <phoneticPr fontId="2" type="noConversion"/>
  </si>
  <si>
    <t>Annual Finanncial Statement</t>
    <phoneticPr fontId="2" type="noConversion"/>
  </si>
  <si>
    <t>Assets</t>
    <phoneticPr fontId="2" type="noConversion"/>
  </si>
  <si>
    <t>Current assets</t>
    <phoneticPr fontId="2" type="noConversion"/>
  </si>
  <si>
    <t>Cash and deposits</t>
    <phoneticPr fontId="2" type="noConversion"/>
  </si>
  <si>
    <t>Securities</t>
    <phoneticPr fontId="2" type="noConversion"/>
  </si>
  <si>
    <t>단위: billions of yen</t>
    <phoneticPr fontId="2" type="noConversion"/>
  </si>
  <si>
    <t>Notes and accounts receivable - trade</t>
    <phoneticPr fontId="2" type="noConversion"/>
  </si>
  <si>
    <t>Inventories</t>
    <phoneticPr fontId="2" type="noConversion"/>
  </si>
  <si>
    <t>Non-current assets</t>
    <phoneticPr fontId="2" type="noConversion"/>
  </si>
  <si>
    <t>Property, plant and equipment</t>
    <phoneticPr fontId="2" type="noConversion"/>
  </si>
  <si>
    <t>Intangible assets</t>
    <phoneticPr fontId="2" type="noConversion"/>
  </si>
  <si>
    <t>Invenstments and other assets</t>
    <phoneticPr fontId="2" type="noConversion"/>
  </si>
  <si>
    <t>Liabilities</t>
    <phoneticPr fontId="2" type="noConversion"/>
  </si>
  <si>
    <t>Current liabilities</t>
    <phoneticPr fontId="2" type="noConversion"/>
  </si>
  <si>
    <t>Notes and accounts payable - trade</t>
    <phoneticPr fontId="2" type="noConversion"/>
  </si>
  <si>
    <t>advances received</t>
    <phoneticPr fontId="2" type="noConversion"/>
  </si>
  <si>
    <t>Income taxes payable</t>
    <phoneticPr fontId="2" type="noConversion"/>
  </si>
  <si>
    <t>Non-current liabilities</t>
    <phoneticPr fontId="2" type="noConversion"/>
  </si>
  <si>
    <t>Retirement benefit liability</t>
    <phoneticPr fontId="2" type="noConversion"/>
  </si>
  <si>
    <t>Annual Income Statement</t>
    <phoneticPr fontId="2" type="noConversion"/>
  </si>
  <si>
    <t>Net sales</t>
    <phoneticPr fontId="2" type="noConversion"/>
  </si>
  <si>
    <t>Gross profit</t>
    <phoneticPr fontId="2" type="noConversion"/>
  </si>
  <si>
    <t>%yoy</t>
    <phoneticPr fontId="2" type="noConversion"/>
  </si>
  <si>
    <t>gpm</t>
    <phoneticPr fontId="2" type="noConversion"/>
  </si>
  <si>
    <t>Operating profit</t>
    <phoneticPr fontId="2" type="noConversion"/>
  </si>
  <si>
    <t>opm</t>
    <phoneticPr fontId="2" type="noConversion"/>
  </si>
  <si>
    <t>Profit</t>
    <phoneticPr fontId="2" type="noConversion"/>
  </si>
  <si>
    <t>Annual Cash Flow</t>
    <phoneticPr fontId="2" type="noConversion"/>
  </si>
  <si>
    <t>Cash flows from operating activities</t>
    <phoneticPr fontId="2" type="noConversion"/>
  </si>
  <si>
    <t>Cash flows from investing activities</t>
    <phoneticPr fontId="2" type="noConversion"/>
  </si>
  <si>
    <t>Cash flows from financing activities</t>
    <phoneticPr fontId="2" type="noConversion"/>
  </si>
  <si>
    <t>Quarter Income Statement</t>
    <phoneticPr fontId="2" type="noConversion"/>
  </si>
  <si>
    <t>1Q20</t>
    <phoneticPr fontId="2" type="noConversion"/>
  </si>
  <si>
    <t>2Q20</t>
    <phoneticPr fontId="2" type="noConversion"/>
  </si>
  <si>
    <t>3Q20</t>
    <phoneticPr fontId="2" type="noConversion"/>
  </si>
  <si>
    <t>4Q20</t>
    <phoneticPr fontId="2" type="noConversion"/>
  </si>
  <si>
    <t>1Q21</t>
    <phoneticPr fontId="2" type="noConversion"/>
  </si>
  <si>
    <t>2Q21</t>
    <phoneticPr fontId="2" type="noConversion"/>
  </si>
  <si>
    <t>3Q21</t>
    <phoneticPr fontId="2" type="noConversion"/>
  </si>
  <si>
    <t>4Q21</t>
    <phoneticPr fontId="2" type="noConversion"/>
  </si>
  <si>
    <t>1Q22</t>
    <phoneticPr fontId="2" type="noConversion"/>
  </si>
  <si>
    <t>2Q22</t>
    <phoneticPr fontId="2" type="noConversion"/>
  </si>
  <si>
    <t>3Q22</t>
    <phoneticPr fontId="2" type="noConversion"/>
  </si>
  <si>
    <t>4Q22</t>
    <phoneticPr fontId="2" type="noConversion"/>
  </si>
  <si>
    <t>1Q23</t>
    <phoneticPr fontId="2" type="noConversion"/>
  </si>
  <si>
    <t>2Q23</t>
    <phoneticPr fontId="2" type="noConversion"/>
  </si>
  <si>
    <t>3Q23</t>
    <phoneticPr fontId="2" type="noConversion"/>
  </si>
  <si>
    <t>4Q23</t>
    <phoneticPr fontId="2" type="noConversion"/>
  </si>
  <si>
    <t>*일본의 1월은 우리나라 기준으로 4월이라 본 보고서에서 2023년은 우리나라 기준 2023년 4월~2024년 3월을 뜻함</t>
    <phoneticPr fontId="2" type="noConversion"/>
  </si>
  <si>
    <t>**일본의 1분기는 우리나라 기준 4월에 시작이라 1Q는 4~6월을 뜻함</t>
    <phoneticPr fontId="2" type="noConversion"/>
  </si>
  <si>
    <t>%qoq</t>
    <phoneticPr fontId="2" type="noConversion"/>
  </si>
  <si>
    <t>플랫폼에 따라 게임을 분류하면 크게 PC, 모바일, 콘솔, 아케이드가 있다.</t>
    <phoneticPr fontId="2" type="noConversion"/>
  </si>
  <si>
    <t>이 중 아케이드 게임은 오락실에서 하는 게임을 말하는 것으로 타 플랫폼의 성능이 점점 우수해지고 편리해지면서 거의 사양된 산업이다.</t>
    <phoneticPr fontId="2" type="noConversion"/>
  </si>
  <si>
    <t>모바일 게임</t>
    <phoneticPr fontId="2" type="noConversion"/>
  </si>
  <si>
    <t>왼쪽 그래프는 2023년의 플랫폼별 글로벌 시장 규모이다.</t>
    <phoneticPr fontId="2" type="noConversion"/>
  </si>
  <si>
    <t>모바일 게임이 49%로 가장 크고 콘솔이 29%, PC 게임이 21%로 이어진다.</t>
    <phoneticPr fontId="2" type="noConversion"/>
  </si>
  <si>
    <t>브라우저 PC 게임은 별도의 클라이언트 설치 없이 웹에서 즐기는 게임으로 시장 규모가 작다.</t>
    <phoneticPr fontId="2" type="noConversion"/>
  </si>
  <si>
    <t>휴대용 기기, 즉 스마트폰을 이용한 게임들을 총칭한다.</t>
    <phoneticPr fontId="2" type="noConversion"/>
  </si>
  <si>
    <t>초기 핸드폰 시장이 낮은 성능과 작은 화면, 불편한 조작으로 인해 퀄리티가 높은 게임들을 만들 수 없었지만 기술의 발전과 함께 이 문제들이 개선되며 고성장을 이루었다.</t>
    <phoneticPr fontId="2" type="noConversion"/>
  </si>
  <si>
    <t>PC나 콘솔보다 스마트폰 사용자가 훨씬 많고 게임을 플레이하기까지 진입장벽이 훨씬 낮기 때문에 그 시장 규모는 어마어마하다.</t>
    <phoneticPr fontId="2" type="noConversion"/>
  </si>
  <si>
    <t>하지만 PC와 콘솔과는 다르게 도박에 가까운 기형적인 과금 구조를 가진 게임들이 매출 상위를 차지한다.</t>
    <phoneticPr fontId="2" type="noConversion"/>
  </si>
  <si>
    <t>실제로 게임성과 수익이 비례하지도 않는다.</t>
    <phoneticPr fontId="2" type="noConversion"/>
  </si>
  <si>
    <t>그래서 모바일 게임 시장은 타 게임 시장과 조금 다른 관점으로 접근을 해야한다.</t>
    <phoneticPr fontId="2" type="noConversion"/>
  </si>
  <si>
    <t>2. 모바일 게임 유저들의 성향</t>
    <phoneticPr fontId="2" type="noConversion"/>
  </si>
  <si>
    <t>4. 모바일 게임 업계의 빈익빈 부익부 심화</t>
    <phoneticPr fontId="2" type="noConversion"/>
  </si>
  <si>
    <t>5. 대충 만드는 개발자들</t>
    <phoneticPr fontId="2" type="noConversion"/>
  </si>
  <si>
    <t>북미나 유럽의 경우 게이머들의 특성이 달라 다른 형태의 모바일 게임 시장이 형성되어 있지만 여기서는 국내와 아시아권에 특히 집중하여 이야기 해보려고 한다.</t>
    <phoneticPr fontId="2" type="noConversion"/>
  </si>
  <si>
    <t>모바일 게임 시장의 특수성</t>
    <phoneticPr fontId="2" type="noConversion"/>
  </si>
  <si>
    <t>국내 모바일 게임 매출 상위를 보면 아저씨들이 할 것 같은 게임들이 다수이고 게임성도 떨어지는 경우가 많다.</t>
    <phoneticPr fontId="2" type="noConversion"/>
  </si>
  <si>
    <t>국내 게임사 대부분이 확률형 아이템과 P2W 시스템의 과금 구조를 가지고 있기에 모바일 게임 시장의 특수성과 관련하여 어째서 이러한 시장구조를 형성하게 되었는지 이해하여 보자.</t>
    <phoneticPr fontId="2" type="noConversion"/>
  </si>
  <si>
    <t>3. 불법 복제, 표절, 도용, 저작권 침해 문제</t>
    <phoneticPr fontId="2" type="noConversion"/>
  </si>
  <si>
    <t>스마트폰은 오로지 액정 터치로만 조작 가능하며, 컨트롤러나 키보드, 마우스처럼 폭 넓은 컨트롤이 불가능하다.</t>
    <phoneticPr fontId="2" type="noConversion"/>
  </si>
  <si>
    <t>여러 컨트롤들을 구현하려면 안 그래도 좁은 화면에 가상 인터페이스들을 마구잡이로 집어넣어야 한다.</t>
    <phoneticPr fontId="2" type="noConversion"/>
  </si>
  <si>
    <t>또한 플레이어는 손가락으로 화면을 가려가며 터치를 해야하기에 몰입을 방해한다.</t>
    <phoneticPr fontId="2" type="noConversion"/>
  </si>
  <si>
    <t>결국 플레이어는 이동 외의 컨트롤이 몇 가지 정도로 제약되어 복잡한 게임의 모바일 구현이 어려워진다.</t>
    <phoneticPr fontId="2" type="noConversion"/>
  </si>
  <si>
    <t>실제로 이러한 문제를 해결하기 위해 핸드폰에 게임용 십자 버튼이나 AB 버튼을 달아 출시한 사례가 있었다.</t>
    <phoneticPr fontId="2" type="noConversion"/>
  </si>
  <si>
    <t>하지만 게임 외에는 거의 쓸모가 없는 기능이고 오히려 단가와 크기만 늘어나고 그렇다고 실제 게임기에 비하면 나을게 없어 실패했다.</t>
    <phoneticPr fontId="2" type="noConversion"/>
  </si>
  <si>
    <t>엎친데 덮친격으로 액정 터치는 지연 반응이나 무반응, 잘못된 터치 인식 등의 고질적인 문제가 해결되지 못하고 여전히 현재진행형이라는 점이다.</t>
    <phoneticPr fontId="2" type="noConversion"/>
  </si>
  <si>
    <t>1. 터치식 스마트폰의 물리적 한계</t>
    <phoneticPr fontId="2" type="noConversion"/>
  </si>
  <si>
    <t>조작이 중요하고 정밀성을 요구하는 게임에서 기기 오류로 터치가 제대로 되지 않는다면 게이머는 스트레스를 받아 떠날 수 밖에 없다.</t>
    <phoneticPr fontId="2" type="noConversion"/>
  </si>
  <si>
    <t>결국 게임사들은 모바일에 게임을 출시할 때 조작을 간소화하고 스펙을 낮출 수 밖에 없다.</t>
    <phoneticPr fontId="2" type="noConversion"/>
  </si>
  <si>
    <t>게임성을 낮춰야만 모바일 게임에서 플레이하기 좋은 아이러니한 상황이 형성된 것이다.</t>
    <phoneticPr fontId="2" type="noConversion"/>
  </si>
  <si>
    <t>모바일이라는 특성으로 인해 모바일 게임을 제작할 때 코어 게이머들보다 더 광범위한 유저층을 고려하고 제작하게 된다.</t>
    <phoneticPr fontId="2" type="noConversion"/>
  </si>
  <si>
    <t>콘솔 게임은 전용 게임기를 구매해야 하고 PC 게임은 제대로 즐기려면 기기 스펙이 높아야 한다.</t>
    <phoneticPr fontId="2" type="noConversion"/>
  </si>
  <si>
    <t>하지만 모바일은 기기 스펙이 높을 필요도 없고 남녀노소 모두 스마트폰 하나씩은 가지고 있다.</t>
    <phoneticPr fontId="2" type="noConversion"/>
  </si>
  <si>
    <t>그래서 타 플랫폼 게임들보다 더욱 가벼운 마음으로 접근이 가능하다.</t>
    <phoneticPr fontId="2" type="noConversion"/>
  </si>
  <si>
    <t>모바일 유저들은 취미 측면에서 게임에 대한 관심이나 애착이 낮은 편이기에 짧은 시간 안에 심심풀이 및 시간 때우기 용도로 게임을 소비한다.</t>
    <phoneticPr fontId="2" type="noConversion"/>
  </si>
  <si>
    <t>게임 내용 자체보다 경쟁 심리, 돈을 쓰는 재미, 명예, 인맥 등 게임 외적인 부분에 집중하게 되는 것이다.</t>
    <phoneticPr fontId="2" type="noConversion"/>
  </si>
  <si>
    <t>국내 온라인 게임들에게 적합한 시장인 것이다.</t>
    <phoneticPr fontId="2" type="noConversion"/>
  </si>
  <si>
    <t>모바일 게임이 처음부터 저질 게임들이 양산된 것은 아니었다.</t>
    <phoneticPr fontId="2" type="noConversion"/>
  </si>
  <si>
    <t>초창기 모바일 게임 시장에는 앵그리버드, 팔라독 등 모바일에 특성에 적합한 명작 게임들이 나왔었다.</t>
    <phoneticPr fontId="2" type="noConversion"/>
  </si>
  <si>
    <t>하지만 안드로이드 운영체제 특성상 APK 파일만 있으면 누구나 불법 복제가 쉬웠기에 자연스레 해적판, 버그판이 난무했다.</t>
    <phoneticPr fontId="2" type="noConversion"/>
  </si>
  <si>
    <t>따라서 모바일 게임 시장은 돈을 주고 사는 패키지 게임 형태에서 무료로 다운 받고 과금을 하게 하는 구조로 BM이 변하게 된것이다.</t>
    <phoneticPr fontId="2" type="noConversion"/>
  </si>
  <si>
    <t>그리고 스팀, 콘솔 게임에서는 표절이나 도용이 일어날 경우 해당 게임은 추방당하고 제작자가 매장되는 등 이 문제에 대해 심각하게 인지한다.</t>
    <phoneticPr fontId="2" type="noConversion"/>
  </si>
  <si>
    <t>하지만 모바일 게임 시장에서는 표절과 도용으로 마켓 순위 상위권을 차지하는 게임들을 자주 볼 수 있다.</t>
    <phoneticPr fontId="2" type="noConversion"/>
  </si>
  <si>
    <t>과거 애니팡이 인기를 끌자 카피캣 게임들이 우후죽순 튀어 나왔는데 저작권 침해와 표절로 처벌받은 사례가 사실상 없어 모바일 게임에 대해서는 남의 저작물로 돈을 벌어도 괜찮다는 선례가 생기게 된 것이다.</t>
    <phoneticPr fontId="2" type="noConversion"/>
  </si>
  <si>
    <t>그러니 게임사들 입장에서는 힘들게 창작 해봤자 금방 뺏기니 대기업들도 비슷한 게임들을 양산하는 상황까지 오게 된 것이다.</t>
    <phoneticPr fontId="2" type="noConversion"/>
  </si>
  <si>
    <t>앞서 말한 문제들로 인해 모바일 게임은 과금 구조가 고착화 되었고 악순환의 고리가 형성되었다.</t>
    <phoneticPr fontId="2" type="noConversion"/>
  </si>
  <si>
    <t>과금전사들은 게임성과 재미가 주된 목적이 아니기에 이미 돈을 많이 쓴 게임을 떠날 유인이 적고 해당 게임에 계속 매출을 내주게 된다.</t>
    <phoneticPr fontId="2" type="noConversion"/>
  </si>
  <si>
    <t>모바일 게임 시장을 선점한 플레이어들이 지갑전사들을 잡아두니 신규 플레이어들은 유저 유치가 쉽지 않게 된다.</t>
    <phoneticPr fontId="2" type="noConversion"/>
  </si>
  <si>
    <t>한 번 게임을 성공시킨 기업은 자금력을 이용해 마케팅, 개발 속도 등에서 중소 기업보다 훨씬 유리한 위치에 있게 되고 모바일 게임 시장의 악순환이 심화 된것이다.</t>
    <phoneticPr fontId="2" type="noConversion"/>
  </si>
  <si>
    <t>모바일 게임은 비교적 제작에 필요한 인원이 적고 쉽고 빠르게 개발할 수 있다.</t>
    <phoneticPr fontId="2" type="noConversion"/>
  </si>
  <si>
    <t>그래서 중소기업의 개발자들은 게임으로 수익을 얻기 보다 개발이나 운영을 해봤다는 경력이나 정부지원 자금, 대기업의 인수합병 등의 목적으로 개발을 하게 된다.</t>
    <phoneticPr fontId="2" type="noConversion"/>
  </si>
  <si>
    <t>경력을 위한 수단으로 게임을 개발하게 되니 결과물을 대충 만들게 되는 것이다.</t>
    <phoneticPr fontId="2" type="noConversion"/>
  </si>
  <si>
    <t>스토어</t>
    <phoneticPr fontId="2" type="noConversion"/>
  </si>
  <si>
    <t>모바일 게임을 플레이하기 위해서는 스토어에서 다운로드를 받아야 한다.</t>
    <phoneticPr fontId="2" type="noConversion"/>
  </si>
  <si>
    <t>스토어는 종류가 많지만 주요 플랫폼인 구글 플레이스토어와 애플의 앱스토어만 살펴보기로 하자.</t>
    <phoneticPr fontId="2" type="noConversion"/>
  </si>
  <si>
    <t>구글 플레이스토어</t>
    <phoneticPr fontId="2" type="noConversion"/>
  </si>
  <si>
    <t>애플 앱스토어</t>
    <phoneticPr fontId="2" type="noConversion"/>
  </si>
  <si>
    <t>안드로이드 유저들이 주로 사용하는 플랫폼이다.</t>
    <phoneticPr fontId="2" type="noConversion"/>
  </si>
  <si>
    <t>애플과 달리 독점 스토어를 강제하지 않기에 갤럭시 스토어, 원스토어 등 다른 플랫폼들도 존재하지만 규모의 차이로 인해 플레이스토어를 대부분 이용한다.</t>
    <phoneticPr fontId="2" type="noConversion"/>
  </si>
  <si>
    <t>사전 심의 제도가 매우 부실하여 마켓에 보여질 앱 소개에 저작권 침해 항목만 없다면 전혀 다른 앱의 이미지와 스크린샷을 사용해도 문제 없다.</t>
    <phoneticPr fontId="2" type="noConversion"/>
  </si>
  <si>
    <t>그래서 표절 게임, 저질 게임들이 애플 앱스토어에 비해 더욱 많다.</t>
    <phoneticPr fontId="2" type="noConversion"/>
  </si>
  <si>
    <t>물론 심의가 적은 것은 빠른 업데이트가 가능하다는 장점으로 연결되기도 하지만 그만큼 버그가 있는 앱들도 많다.</t>
    <phoneticPr fontId="2" type="noConversion"/>
  </si>
  <si>
    <t>수수료의 경우 게임은 전체 매출의 30%를 매기게 된다.(유료 다운로드 수익, 인앱결제)</t>
    <phoneticPr fontId="2" type="noConversion"/>
  </si>
  <si>
    <t>ios 유저들이 사용하는 플랫폼이다.</t>
    <phoneticPr fontId="2" type="noConversion"/>
  </si>
  <si>
    <t>안드로이드는 다양한 스토어가 이용가능한 것과 달리 ios 체제에서는 오직 app store만을 사용하여 앱을 다운로드 받고 결제를 해야한다.</t>
    <phoneticPr fontId="2" type="noConversion"/>
  </si>
  <si>
    <t>그 대신 심의 체제가 체계적이고 철저해 버그가 악성코드가 있거나 저질 앱들이 거의 안 올라오는 편이다.</t>
    <phoneticPr fontId="2" type="noConversion"/>
  </si>
  <si>
    <t>ios와 안드로이드는 운영체제가 많이 달라 꽤 많은 게임사들이 한 쪽에서만 서비스하는 경우도 종종 있다.</t>
    <phoneticPr fontId="2" type="noConversion"/>
  </si>
  <si>
    <t>수수료는 일괄적으로 판매 수익의 30%을 매기게 된다.</t>
    <phoneticPr fontId="2" type="noConversion"/>
  </si>
  <si>
    <t>콘솔 게임</t>
    <phoneticPr fontId="2" type="noConversion"/>
  </si>
  <si>
    <t>게임만을 위해 제작된 단말기를 콘솔 게임기라고 부르고 그러한 콘솔 게임기를 활용하여 플레이하는 게임들을 콘솔 게임이라고 부른다.</t>
    <phoneticPr fontId="2" type="noConversion"/>
  </si>
  <si>
    <t>대부분의 콘솔 시장을 닌텐도, 플레이스테이션, 엑스박스가 나눠 먹고 있다.</t>
    <phoneticPr fontId="2" type="noConversion"/>
  </si>
  <si>
    <t>콘솔 게임 공통의 특징</t>
    <phoneticPr fontId="2" type="noConversion"/>
  </si>
  <si>
    <t>게임기들이 하드웨어 제작에 들어가는 비용에 비해 거의 마진 없이 파는 경우가 대부분이다.</t>
    <phoneticPr fontId="2" type="noConversion"/>
  </si>
  <si>
    <t>게임사들 매출의 대부분이 소프트웨어 판매에서 나오기 때문에 일단 하드웨어 공급을 늘려야 하기 때문이다.</t>
    <phoneticPr fontId="2" type="noConversion"/>
  </si>
  <si>
    <t>1. 매우 싼 하드웨어 가격</t>
    <phoneticPr fontId="2" type="noConversion"/>
  </si>
  <si>
    <t>게임기 판매로 흑자를 내는 회사는 닌텐도 정도이다.</t>
    <phoneticPr fontId="2" type="noConversion"/>
  </si>
  <si>
    <t>2. 견고성</t>
    <phoneticPr fontId="2" type="noConversion"/>
  </si>
  <si>
    <t>스마트폰 같은 동급 전자제품들에 비해 견고하고 고장이 없는 편이다.</t>
    <phoneticPr fontId="2" type="noConversion"/>
  </si>
  <si>
    <t>탑재된 이차 전지들도 열화율이 낮아 2-30년에 걸쳐 수천번 충전과 방전을 거듭해도 수명이 남아 있다.</t>
    <phoneticPr fontId="2" type="noConversion"/>
  </si>
  <si>
    <t>3. 낮은 호환성</t>
    <phoneticPr fontId="2" type="noConversion"/>
  </si>
  <si>
    <t>게임기 별 호환은 당연히 안되고(닌텐도 칩을 플스에서 못 씀) 동일 회사 게임기라도 하위 호환이 지원이 안 되는 경우도 많다.</t>
    <phoneticPr fontId="2" type="noConversion"/>
  </si>
  <si>
    <t>하위 호환을 지원하더라도 게임 엑세서리는 호환이 안 되는 경우도 많다.</t>
    <phoneticPr fontId="2" type="noConversion"/>
  </si>
  <si>
    <t>심지어 usb로 연결하는 액세서리들조차 호환성이 없는 경우가 있을 정도이다.</t>
    <phoneticPr fontId="2" type="noConversion"/>
  </si>
  <si>
    <t>콘솔 3사 비교</t>
    <phoneticPr fontId="2" type="noConversion"/>
  </si>
  <si>
    <t>게이머들이 특정 콘솔 게임기를 구매할 때 고려하는 요소로는 가격, 성능, 플레이 가능한 게임이 있다.</t>
    <phoneticPr fontId="2" type="noConversion"/>
  </si>
  <si>
    <t>이 중 가장 중요한 요소는 당연히 플레이 가능한 게임 종류이다.</t>
    <phoneticPr fontId="2" type="noConversion"/>
  </si>
  <si>
    <t>1. 가격</t>
    <phoneticPr fontId="2" type="noConversion"/>
  </si>
  <si>
    <t>닌텐도 스위치</t>
    <phoneticPr fontId="2" type="noConversion"/>
  </si>
  <si>
    <t>닌텐도 스위치 oled</t>
    <phoneticPr fontId="2" type="noConversion"/>
  </si>
  <si>
    <t>PS 5 디스크 에디션</t>
    <phoneticPr fontId="2" type="noConversion"/>
  </si>
  <si>
    <t>PS 5 디지털 에디션</t>
    <phoneticPr fontId="2" type="noConversion"/>
  </si>
  <si>
    <t>게임 디스크를 꽂을 수 없음. 오직 다운로드 해서 플레이만</t>
    <phoneticPr fontId="2" type="noConversion"/>
  </si>
  <si>
    <t>게임 디스크 꽂을 수 있음. 다운로드도 됨</t>
    <phoneticPr fontId="2" type="noConversion"/>
  </si>
  <si>
    <t>고급 성능 기기</t>
    <phoneticPr fontId="2" type="noConversion"/>
  </si>
  <si>
    <t>일반 성능 기기</t>
    <phoneticPr fontId="2" type="noConversion"/>
  </si>
  <si>
    <t>기종</t>
    <phoneticPr fontId="2" type="noConversion"/>
  </si>
  <si>
    <t>가격 (만원)</t>
    <phoneticPr fontId="2" type="noConversion"/>
  </si>
  <si>
    <t>비고</t>
    <phoneticPr fontId="2" type="noConversion"/>
  </si>
  <si>
    <t>소니의 PS5와 마이크로소프트의 Xbox x는 성능이 더욱 우수해 기기 가격이 높은 편이다.</t>
    <phoneticPr fontId="2" type="noConversion"/>
  </si>
  <si>
    <t>타사와 달리 닌텐도의 경영 방침은 하드웨어 판매로도 수익을 남기려 하는데 그럼 자연스레 저성능 기기를 만드러 기기 가격도 낮게 책정할 수 밖에 없다.</t>
    <phoneticPr fontId="2" type="noConversion"/>
  </si>
  <si>
    <t>더 넓어진 액정, 용량 2배</t>
    <phoneticPr fontId="2" type="noConversion"/>
  </si>
  <si>
    <t>닌텐도의 경우 oled를 샀을 때 장점이 액정이 넓어지는 것과 기기 용량이 커지는 것인데 어차피 티비나 모니터에 연결해서 하고 용량이 애초에 작아 sd카드를 구매해야한다.</t>
    <phoneticPr fontId="2" type="noConversion"/>
  </si>
  <si>
    <t>그래서 인터넷에 검색해봐도 일반 스위치를 구매해도 무방하다는 의견이 많다.</t>
    <phoneticPr fontId="2" type="noConversion"/>
  </si>
  <si>
    <t>플레이스테이션의 경우 디스크와 디지털 에디션을 선택하는 것은 취향 차이이다.</t>
    <phoneticPr fontId="2" type="noConversion"/>
  </si>
  <si>
    <t>디스크로 게임을 플레이하면 나중에 되팔수도 있어 특정 기기를 사는걸 추천하는 경우는 잘 없다.</t>
    <phoneticPr fontId="2" type="noConversion"/>
  </si>
  <si>
    <t>추가로 플스의 경우 공식 컨트롤러가 7만원 정도에 판매하고 있는데 정밀한 진동기능을 제공해 게임 몰입도를 높여 거의 필수로 구매한다.</t>
    <phoneticPr fontId="2" type="noConversion"/>
  </si>
  <si>
    <t>Xbox의 경우 성능 차이만큼 가격 차이가 커 취향과 지갑 사정에 따라 게임기를 선택하게 된다.</t>
    <phoneticPr fontId="2" type="noConversion"/>
  </si>
  <si>
    <t>하지만 후술하겠지만 Xbox는 게임패스라는 게임 구독 서비스가 있어 이것까지 가격 요소에 포함해 고려하게 된다.</t>
    <phoneticPr fontId="2" type="noConversion"/>
  </si>
  <si>
    <t>정리하자면 PS5는 타 기기보다 유의미하게 비싸고 저렴한 기기를 원하는 게이머는 닌텐도 스위치 일반 모델이나 Xbox S를 사게 된다.</t>
    <phoneticPr fontId="2" type="noConversion"/>
  </si>
  <si>
    <t>2. 성능</t>
    <phoneticPr fontId="2" type="noConversion"/>
  </si>
  <si>
    <t>Xbox series X</t>
    <phoneticPr fontId="2" type="noConversion"/>
  </si>
  <si>
    <t>Xbox series S</t>
    <phoneticPr fontId="2" type="noConversion"/>
  </si>
  <si>
    <t>플스와 Xbox X는 비싼만큼 유의미하게 닌텐도 스위치보다 제품 스펙이 좋다.</t>
    <phoneticPr fontId="2" type="noConversion"/>
  </si>
  <si>
    <t>따라서 더욱 그래픽이 좋고 부드러운 게임을 원하는 게이머들은 PS5나 Xbox X를 구매하게 된다.</t>
    <phoneticPr fontId="2" type="noConversion"/>
  </si>
  <si>
    <t>3. 플레이 가능한 게임</t>
    <phoneticPr fontId="2" type="noConversion"/>
  </si>
  <si>
    <t>사실 위에서 가격과 성능을 비교하기는 했지만 게이머들이 게임기를 선택함에 있어서 제일 많이 고려하는 요소는 플레이 가능한 게임이다.</t>
    <phoneticPr fontId="2" type="noConversion"/>
  </si>
  <si>
    <t>게임의 본질은 결국 재미이고 게임기는 게임을 플레이하기 위한 수단에 불과하기에 하고 싶은 게임을 먼저 선택하고 그에 맞춰 게임기를 구매하는 경우가 대부분이기 때문이다.</t>
    <phoneticPr fontId="2" type="noConversion"/>
  </si>
  <si>
    <t>각 게임기별 플레이 가능 게임을 설명하기 전에 용어 설명을 잠깐만 하고 가겠다.</t>
    <phoneticPr fontId="2" type="noConversion"/>
  </si>
  <si>
    <t>콘솔 게임은 게임을 퍼스트 파티, 세컨 파티, 서드 파티로 구분한다.</t>
    <phoneticPr fontId="2" type="noConversion"/>
  </si>
  <si>
    <t>퍼스트 파티 게임은 게임 기기의 자회사가 만드는 게임으로 거의 대부분 해당 기기 독점작이다.</t>
    <phoneticPr fontId="2" type="noConversion"/>
  </si>
  <si>
    <t>세컨 파티 게임은 자회사가 만드는 건 아니지만 독점 계약이 맺어져 있어 마찬가지로 해당 기기 독점작이다.</t>
    <phoneticPr fontId="2" type="noConversion"/>
  </si>
  <si>
    <t>서드 파티는 나머지 게임으로 다중 플랫폼 지원을 하는 경우이다.</t>
    <phoneticPr fontId="2" type="noConversion"/>
  </si>
  <si>
    <t>모바일 게임에 비해 콘솔 게임은 접근성이 훨씬 떨어지기에 특정 게임을 하고 싶다는 목적을 가지고 게임기를 사게 되고 그 게임이 독점작이면 어쩔 수 없이 특정 기기를 살 수 밖에 없다.</t>
    <phoneticPr fontId="2" type="noConversion"/>
  </si>
  <si>
    <t>따라서 좋은 독점작들을 많이 보유하고 있으면 기기 매출이 늘어날 것이고 한 번 기기를 사게 되면 락인이 걸려 다른 소프트웨어도 사게 되어 선순환의 고리가 형성된다.</t>
    <phoneticPr fontId="2" type="noConversion"/>
  </si>
  <si>
    <t>닌텐도</t>
    <phoneticPr fontId="2" type="noConversion"/>
  </si>
  <si>
    <t>플레이스테이션</t>
    <phoneticPr fontId="2" type="noConversion"/>
  </si>
  <si>
    <t>엑스박스</t>
    <phoneticPr fontId="2" type="noConversion"/>
  </si>
  <si>
    <t>라쳇앤클랭크, 호라이즌, 갓 오브 워, 파이널 판타지, 스파이더맨, 더 라스트 오브 어스</t>
    <phoneticPr fontId="2" type="noConversion"/>
  </si>
  <si>
    <t>각 게임기별 유명 독점작 시리즈들은 다음과 같다.</t>
    <phoneticPr fontId="2" type="noConversion"/>
  </si>
  <si>
    <t>헤일로, 포르자, 기어스 오브 워</t>
    <phoneticPr fontId="2" type="noConversion"/>
  </si>
  <si>
    <t>마리오, 젤다의 전설, 포켓몬, 동물의 숲, 별의 커비, 스매시 브라더스, 파이어엠블렘, 스플래툰, 암즈, 제노브렐이드, 베요네타, 메트로이드</t>
    <phoneticPr fontId="2" type="noConversion"/>
  </si>
  <si>
    <t>닌텐도의 경우 라이트 유저들에게도 유명한 슈퍼 IP들을 다수 보유하고 있다는 점에서 신규 유저 유입에 유리하다.</t>
    <phoneticPr fontId="2" type="noConversion"/>
  </si>
  <si>
    <t>또한 젤다의 전설이라는 명작 게임의 존재는 코어 게이머들도 닌텐도를 구매할 수 밖에 없게 한다.</t>
    <phoneticPr fontId="2" type="noConversion"/>
  </si>
  <si>
    <t>플레이스테이션의 경우 라이트 유저보다 코어 게이머들이 열광할 만한 명작 IP들을 많이 보유하고 있다.</t>
    <phoneticPr fontId="2" type="noConversion"/>
  </si>
  <si>
    <t>엑스박스는 독점작의 개수가 적고 게임패스를 만들어 구독형 게임 서비스를 제공하는 중이다.</t>
    <phoneticPr fontId="2" type="noConversion"/>
  </si>
  <si>
    <t>기존에 보유하던 독점작들도 크로스 플랫폼으로 돌리고 독점작 확보보다 구독 패스를 통해 수익성을 취하는 식으로 다른 게임사와 다른 전략을 구사 중이다.</t>
    <phoneticPr fontId="2" type="noConversion"/>
  </si>
  <si>
    <t>4. 종합 결론</t>
    <phoneticPr fontId="2" type="noConversion"/>
  </si>
  <si>
    <t>2023년 기준 콘솔 3사의 실적은 다음과 같다.</t>
    <phoneticPr fontId="2" type="noConversion"/>
  </si>
  <si>
    <t>소니: 매출 38.2조 / 영업이익 2.3조</t>
    <phoneticPr fontId="2" type="noConversion"/>
  </si>
  <si>
    <t>닌텐도: 매출 17.3조 / 영업이익 6.1조</t>
    <phoneticPr fontId="2" type="noConversion"/>
  </si>
  <si>
    <t>마이크로소프트: 14.5조/ 영업이익 공개되지 않음</t>
    <phoneticPr fontId="2" type="noConversion"/>
  </si>
  <si>
    <t>*소니와 마이크로소프트는 게임 부분 실적으로 한정</t>
    <phoneticPr fontId="2" type="noConversion"/>
  </si>
  <si>
    <t>매출이 가장 높은 것은 소니이지만 닌텐도의 opm이 34.9%라 영업이익이 가장 높다는 점에서 주목할 만하다.</t>
    <phoneticPr fontId="2" type="noConversion"/>
  </si>
  <si>
    <t>마이크로소프트의 경우 매출도 가장 적지만 닌텐도의 opm이 높은 것은 슈퍼 ip의 덕이 커 닌텐도보다 훨씬 영업이익이 적지 않을 것으로 추정된다.</t>
    <phoneticPr fontId="2" type="noConversion"/>
  </si>
  <si>
    <t>투자자의 관점에서 콘솔 3사를 비교해 top pick을 꼽자면 닌텐도이다.</t>
    <phoneticPr fontId="2" type="noConversion"/>
  </si>
  <si>
    <t>닌텐도는 슈퍼 IP들을 토대로 라이트 게이머, 코어 게이머 모두를 닌텐도의 생태계로 불러 들일 수 있다.</t>
    <phoneticPr fontId="2" type="noConversion"/>
  </si>
  <si>
    <t>그 과정에서 콘솔 게임 특성상 락인이 걸려 다른 소프트웨어들도 플레이하게 되고 지속적인 수익을 낼 수 있다.</t>
    <phoneticPr fontId="2" type="noConversion"/>
  </si>
  <si>
    <t>플스와 엑스박스를 비교하자면 현재는 플스의 우위, 장기적으로는 엑스박스의 우위를 예상한다.</t>
    <phoneticPr fontId="2" type="noConversion"/>
  </si>
  <si>
    <t>현재는 플스의 브랜드 가치와 우수한 성능으로 많은 유저들에게 사랑 받고 있지만 이는 한계가 있다.</t>
    <phoneticPr fontId="2" type="noConversion"/>
  </si>
  <si>
    <t>최근 컨콜에서 CEO가 멀티 플랫폼으로 나아가야 한다고 말하는 만큼 IP의 중요성을 떨어질 것인데 닌텐도처럼 슈퍼 IP를 보유한 것도 아니라 구독형 게임 패스를 선보이는 엑스박스에게 밀릴 수 밖에 없다고 생각한다.</t>
    <phoneticPr fontId="2" type="noConversion"/>
  </si>
  <si>
    <t>PC 게임</t>
    <phoneticPr fontId="2" type="noConversion"/>
  </si>
  <si>
    <t>PC 게임은 모바일 게임과 콘솔 게임의 장점들만 잘 섞은 것으로 이해할 수 있다.</t>
    <phoneticPr fontId="2" type="noConversion"/>
  </si>
  <si>
    <t>대부분의 가정에 PC가 있기에 접근성이 좋고 조작의 우수함 덕분에 게임성이 뛰어난 게임이 다수 있다.</t>
    <phoneticPr fontId="2" type="noConversion"/>
  </si>
  <si>
    <t>엑스박스는 2016년부터 독점작을 PC로 출시하기 시작했고 플레이스테이션은 2020년부터 독점작의 PC 출시를 시작했다.</t>
    <phoneticPr fontId="2" type="noConversion"/>
  </si>
  <si>
    <t>팬층이 두터운 IP들을 보유한 닌텐도의 게임을 제외하고는 점점 PC에서도 플레이 가능하게 될 것이므로 콘솔 구입에 대한 유인이 점점 적어질 것이다.</t>
    <phoneticPr fontId="2" type="noConversion"/>
  </si>
  <si>
    <t>STEAM</t>
    <phoneticPr fontId="2" type="noConversion"/>
  </si>
  <si>
    <t>스팀은 밸브 코퍼레이션이 개발하고 운영 중인 세계 최대 규모의 전자 소프트웨어 유통망이다.</t>
    <phoneticPr fontId="2" type="noConversion"/>
  </si>
  <si>
    <t>PC 게임의 전부가 스팀에서 유통된다고 거의 무방할 정도로 많은 수의 게임을 유통하고 있다.</t>
    <phoneticPr fontId="2" type="noConversion"/>
  </si>
  <si>
    <t>마인크래프트, 리그오브레전드처럼 매우 유명한 게임들의 경우 스팀을 거치지 않고 자체 다운로드 사이트를 구축하지만 대부분 게임사들이 그럴만한 사정이 되지 않는다.</t>
    <phoneticPr fontId="2" type="noConversion"/>
  </si>
  <si>
    <t>특히 인디게임사들은 충분한 마케팅 능력이 되지 않기에 배급이 원활한 스팀을 사용할 유인이 매우 높다.</t>
    <phoneticPr fontId="2" type="noConversion"/>
  </si>
  <si>
    <t>스팀 다이렉트를 통해 셀프 퍼블리싱을 할 경우 밸브에서 타이틀 1개당 100$를 청구하고 판매 수익 중 30%를 수수료로 가져간다.</t>
    <phoneticPr fontId="2" type="noConversion"/>
  </si>
  <si>
    <t>다른 퍼블리셔에게 위탁할 경우 20%의 수수료가 더 추가 된다.</t>
    <phoneticPr fontId="2" type="noConversion"/>
  </si>
  <si>
    <t>만약 게임 매출액이 1천만 달러를 넘으면 수수료율이 25%, 5천만 달러를 넘으면 20%로 조정된다.</t>
    <phoneticPr fontId="2" type="noConversion"/>
  </si>
  <si>
    <t>집계 매출은 게임 판매, 다운로트 컨텐츠(DLC), 게임 내 구매, 스팀 커뮤니티 장터 내 이용자 간 거래 수수료가 포함된다.</t>
    <phoneticPr fontId="2" type="noConversion"/>
  </si>
  <si>
    <t>Mobile, IP related income</t>
    <phoneticPr fontId="2" type="noConversion"/>
  </si>
  <si>
    <t>other</t>
    <phoneticPr fontId="2" type="noConversion"/>
  </si>
  <si>
    <t>hardware</t>
    <phoneticPr fontId="2" type="noConversion"/>
  </si>
  <si>
    <t>1Q17</t>
    <phoneticPr fontId="2" type="noConversion"/>
  </si>
  <si>
    <t>2Q17</t>
    <phoneticPr fontId="2" type="noConversion"/>
  </si>
  <si>
    <t>3Q17</t>
    <phoneticPr fontId="2" type="noConversion"/>
  </si>
  <si>
    <t>4Q17</t>
    <phoneticPr fontId="2" type="noConversion"/>
  </si>
  <si>
    <t>1Q18</t>
    <phoneticPr fontId="2" type="noConversion"/>
  </si>
  <si>
    <t>2Q18</t>
    <phoneticPr fontId="2" type="noConversion"/>
  </si>
  <si>
    <t>3Q18</t>
    <phoneticPr fontId="2" type="noConversion"/>
  </si>
  <si>
    <t>4Q18</t>
    <phoneticPr fontId="2" type="noConversion"/>
  </si>
  <si>
    <t>1Q19</t>
    <phoneticPr fontId="2" type="noConversion"/>
  </si>
  <si>
    <t>2Q19</t>
    <phoneticPr fontId="2" type="noConversion"/>
  </si>
  <si>
    <t>3Q19</t>
    <phoneticPr fontId="2" type="noConversion"/>
  </si>
  <si>
    <t>4Q19</t>
    <phoneticPr fontId="2" type="noConversion"/>
  </si>
  <si>
    <t>Revenue proportion</t>
    <phoneticPr fontId="2" type="noConversion"/>
  </si>
  <si>
    <t>비고</t>
    <phoneticPr fontId="2" type="noConversion"/>
  </si>
  <si>
    <t>스위치 배터리 개선판 출시</t>
    <phoneticPr fontId="2" type="noConversion"/>
  </si>
  <si>
    <t>스위치 lite 출시</t>
    <phoneticPr fontId="2" type="noConversion"/>
  </si>
  <si>
    <t>스위치 oled 출시</t>
    <phoneticPr fontId="2" type="noConversion"/>
  </si>
  <si>
    <t>젤다 18.51M</t>
    <phoneticPr fontId="2" type="noConversion"/>
  </si>
  <si>
    <t>마리오 원더 11.96M</t>
    <phoneticPr fontId="2" type="noConversion"/>
  </si>
  <si>
    <t>스플래툰 7.9M</t>
    <phoneticPr fontId="2" type="noConversion"/>
  </si>
  <si>
    <t>포켓몬 20.61M</t>
    <phoneticPr fontId="2" type="noConversion"/>
  </si>
  <si>
    <t>포켓몬 13.97M</t>
    <phoneticPr fontId="2" type="noConversion"/>
  </si>
  <si>
    <t>포켓몬 12.64M</t>
    <phoneticPr fontId="2" type="noConversion"/>
  </si>
  <si>
    <t>동숲 11.77M</t>
    <phoneticPr fontId="2" type="noConversion"/>
  </si>
  <si>
    <t>포켓몬 12.28M</t>
    <phoneticPr fontId="2" type="noConversion"/>
  </si>
  <si>
    <t>포켓몬 10M+</t>
    <phoneticPr fontId="2" type="noConversion"/>
  </si>
  <si>
    <t>링피트 출시</t>
    <phoneticPr fontId="2" type="noConversion"/>
  </si>
  <si>
    <t>대난투 12.08M</t>
    <phoneticPr fontId="2" type="noConversion"/>
  </si>
  <si>
    <t>마리오 7.5M</t>
    <phoneticPr fontId="2" type="noConversion"/>
  </si>
  <si>
    <t>닌텐도 스위치 역대 인기 타이틀</t>
    <phoneticPr fontId="2" type="noConversion"/>
  </si>
  <si>
    <t>출시일</t>
    <phoneticPr fontId="2" type="noConversion"/>
  </si>
  <si>
    <t>슈퍼 마리오 원더</t>
    <phoneticPr fontId="2" type="noConversion"/>
  </si>
  <si>
    <t>포켓몬스터 스칼렛 &amp; 바이올렛</t>
    <phoneticPr fontId="2" type="noConversion"/>
  </si>
  <si>
    <t>Pokemon LEGENDS 아르세우스</t>
    <phoneticPr fontId="2" type="noConversion"/>
  </si>
  <si>
    <t>젤다의 전설 티어스 오브 킹덤</t>
    <phoneticPr fontId="2" type="noConversion"/>
  </si>
  <si>
    <t>포켓몬스터 브릴리언트 다이아몬드 샤이닝 펄</t>
    <phoneticPr fontId="2" type="noConversion"/>
  </si>
  <si>
    <t>모여봐요 동물의 숲</t>
    <phoneticPr fontId="2" type="noConversion"/>
  </si>
  <si>
    <t>포켓몬스터 소드 실드</t>
    <phoneticPr fontId="2" type="noConversion"/>
  </si>
  <si>
    <t>링피트 어드벤쳐</t>
    <phoneticPr fontId="2" type="noConversion"/>
  </si>
  <si>
    <t>뉴 슈퍼 마리오 브라더스 U 디럭스</t>
    <phoneticPr fontId="2" type="noConversion"/>
  </si>
  <si>
    <t>슈퍼 스매시 브라더스 얼티밋</t>
    <phoneticPr fontId="2" type="noConversion"/>
  </si>
  <si>
    <t>포켓몬스터 레츠고! 피카츄 레츠고! 이브이</t>
    <phoneticPr fontId="2" type="noConversion"/>
  </si>
  <si>
    <t>슈퍼 마리오 파티</t>
    <phoneticPr fontId="2" type="noConversion"/>
  </si>
  <si>
    <t>마리오 오디세이</t>
    <phoneticPr fontId="2" type="noConversion"/>
  </si>
  <si>
    <t>스플래툰 2</t>
    <phoneticPr fontId="2" type="noConversion"/>
  </si>
  <si>
    <t>마리오 카트 8 디럭스</t>
    <phoneticPr fontId="2" type="noConversion"/>
  </si>
  <si>
    <t>젤다의 전설 야생의 숨결</t>
    <phoneticPr fontId="2" type="noConversion"/>
  </si>
  <si>
    <t>누적 판매량(M units)</t>
    <phoneticPr fontId="2" type="noConversion"/>
  </si>
  <si>
    <t>루이지 맨션 3</t>
    <phoneticPr fontId="2" type="noConversion"/>
  </si>
  <si>
    <t>순위</t>
    <phoneticPr fontId="2" type="noConversion"/>
  </si>
  <si>
    <t>software and others</t>
    <phoneticPr fontId="2" type="noConversion"/>
  </si>
  <si>
    <t>Video game platform</t>
    <phoneticPr fontId="2" type="noConversion"/>
  </si>
  <si>
    <t>동사 매출은 video game platform / Mobile, IP related income / others 로 나뉘어 공시된다.</t>
    <phoneticPr fontId="2" type="noConversion"/>
  </si>
  <si>
    <t>Mobile, IP related income은 모바일 게임 수익과 로열티 수익으로 매출 비중의 3~6%이다.</t>
    <phoneticPr fontId="2" type="noConversion"/>
  </si>
  <si>
    <t>others 부문에는 카드 게임 제작 매출이 잡히고 매출 비중의 1%도 안 된다.</t>
    <phoneticPr fontId="2" type="noConversion"/>
  </si>
  <si>
    <t>결국 동사 실적을 결정하는데 핵심은 video game platform 부문이다.</t>
    <phoneticPr fontId="2" type="noConversion"/>
  </si>
  <si>
    <t>세부적으로 하드웨어 판매, 소프트웨어 판매, 기타가 있고 기타 매출이 항상 공시되는 것은 아니지만 2024년 기준 video game platform에 2% 밖에 안됐다.</t>
    <phoneticPr fontId="2" type="noConversion"/>
  </si>
  <si>
    <t>%qoq</t>
    <phoneticPr fontId="2" type="noConversion"/>
  </si>
  <si>
    <t>3. wii U 판매 부진: 저성능 기기에 대한 외면</t>
    <phoneticPr fontId="2" type="noConversion"/>
  </si>
  <si>
    <t>4. 모바일 게임 시장의 고성장으로 인한 콘솔 게임 시장 외면</t>
    <phoneticPr fontId="2" type="noConversion"/>
  </si>
  <si>
    <t xml:space="preserve">5. 2014년 말 흑자 전환. 마리오카트 8, 슈퍼 스매시 브라더스의 인기 덕에 기기 판매 수익 + 엔저로 인한 환차익 </t>
    <phoneticPr fontId="2" type="noConversion"/>
  </si>
  <si>
    <t>6. 포켓몬 go 대흥행</t>
    <phoneticPr fontId="2" type="noConversion"/>
  </si>
  <si>
    <t>9. 스위치 oled 출시로 인한 멀티플 개선</t>
    <phoneticPr fontId="2" type="noConversion"/>
  </si>
  <si>
    <t>11. 젤다의 전설 흥행</t>
    <phoneticPr fontId="2" type="noConversion"/>
  </si>
  <si>
    <t>12. 차기작 모멘텀 부족으로 인한 주가 하락 이후 스위치 2 발매 소식에 재상승</t>
    <phoneticPr fontId="2" type="noConversion"/>
  </si>
  <si>
    <t>10. 젤다 기대감 + 마리오 영화 흥행으로 인한 멀티플 상승</t>
    <phoneticPr fontId="2" type="noConversion"/>
  </si>
  <si>
    <t>아래 두 사진은 분기별 hardware 매출과 software와 아미보, DLC 매출을 합한 매출을 각각 표시한 것이다.</t>
    <phoneticPr fontId="2" type="noConversion"/>
  </si>
  <si>
    <t>DLC란 down loadable contents의 약자로 본 게임 내의 의상 및 콘텐츠 추가, 더 나아가 확장팩처럼 새로운 스토리의 확장을 제공해 결제를 유도하는 것이다.</t>
    <phoneticPr fontId="2" type="noConversion"/>
  </si>
  <si>
    <t>아미보는 게임 연동 피규어로 바닥에 nfc 태그가 달려 있어 스위치 본체에 인식시키면 해당 캐릭터가 등장하는 게임에서 여러 기능을 제공한다.</t>
    <phoneticPr fontId="2" type="noConversion"/>
  </si>
  <si>
    <t>빨간 동그라미는 포켓몬이나 젤다, 마리오처럼 슈퍼 IP 작품들이 나온 분기를 표시한 것이고, 초록색 동그라미는 스위치 oled 출시 분기이다.</t>
    <phoneticPr fontId="2" type="noConversion"/>
  </si>
  <si>
    <t>일반적으로 슈퍼 IP 게임 발매 시 소프트웨어 판매 매출 뿐 아니라 하드웨어 판매 매출도 같이 늘어난다.</t>
    <phoneticPr fontId="2" type="noConversion"/>
  </si>
  <si>
    <t>국내 게임방 사장님들 인터뷰 찾아보면 기존에 하던 게임에 질려 기기를 중고로 팔아버리고 새로 인기작이 나오면 다시 기기도 같이 사는 아저씨들이 많다고 한다.</t>
    <phoneticPr fontId="2" type="noConversion"/>
  </si>
  <si>
    <t>Business Model 분석</t>
    <phoneticPr fontId="2" type="noConversion"/>
  </si>
  <si>
    <t>이러한 사람들이 얼마나 될지는 모르겠지만 소프트웨어의 흥행이 하드웨어 판매도 견인하는 추세는 충분히 확인 가능하다.</t>
    <phoneticPr fontId="2" type="noConversion"/>
  </si>
  <si>
    <t>실제로 코로나 19가 터지며 동물의 숲이 국내에서 대흥행을 거두자 스위치 기기 품귀 현상이 일어나기도 했다.</t>
    <phoneticPr fontId="2" type="noConversion"/>
  </si>
  <si>
    <t>소프트웨어 판매가 잘 되면 opm이 개선되는 경향이 있다.</t>
    <phoneticPr fontId="2" type="noConversion"/>
  </si>
  <si>
    <t>타 콘솔사들은 하드웨어는 최대한 마진을 적게 남기고 할인 행사 해버리면 적자 보고 판매하는 경우도 있다.</t>
    <phoneticPr fontId="2" type="noConversion"/>
  </si>
  <si>
    <t>그만큼 소프트웨어를 더 팔아 먹어서 마진을 남기는게 콘솔 게임사들에게 이상적인 전략이다.</t>
    <phoneticPr fontId="2" type="noConversion"/>
  </si>
  <si>
    <t>투자포인트 1. 예정된 슈퍼 IP 발매작</t>
    <phoneticPr fontId="2" type="noConversion"/>
  </si>
  <si>
    <t>슈퍼 IP 중 하나인 젤다의 전설 차기작이 올해 9월 26일에 발매 예정이다.</t>
    <phoneticPr fontId="2" type="noConversion"/>
  </si>
  <si>
    <t>차기작의 흥행 가능성과 주가 판단을 내리기 전에 젤다 IP에 대한 이해가 먼저 필요하다.</t>
    <phoneticPr fontId="2" type="noConversion"/>
  </si>
  <si>
    <t>젤다의 전설 시리즈는 출시만 하면 게임 평론 사이트 중 가장 공신력 있는 메타크리틱에서 must play를 받는다.</t>
    <phoneticPr fontId="2" type="noConversion"/>
  </si>
  <si>
    <t>포켓몬은 저연령층을 주로 공략하고 마리오는 모든 연령층을 공략하는 것과 달리 젤다는 주로 코어 게이머들을 공략한다.</t>
    <phoneticPr fontId="2" type="noConversion"/>
  </si>
  <si>
    <t>항상 새로운 변화를 시도해왔고 그 변화들은 게이머들을 만족시켜 와서 충성도가 굉장히 높은 IP이다.</t>
    <phoneticPr fontId="2" type="noConversion"/>
  </si>
  <si>
    <t>스위치에서의 첫 작품 야숨은 발매 1달간 778만 장을 팔았고 두 번째 작품 티어스 오브 더 킹덤(이하 왕눈)은 3일만에 1000만 장이 팔렸다.</t>
    <phoneticPr fontId="2" type="noConversion"/>
  </si>
  <si>
    <t>야숨의 판매량은 스위치 보급률이 적을 때라 비교적 적지만 왕눈은 대흥행을 거두었고 per은 13배 수준에서 17배 수준까지 올랐다.</t>
    <phoneticPr fontId="2" type="noConversion"/>
  </si>
  <si>
    <t>왕눈과 비슷한 인기를 끌었던 작품으로는 포켓몬스터 스칼렛, 바이올렛(이하 스바)가 있는데 마찬가지로 3일만에 1000만 장을 팔았다.</t>
    <phoneticPr fontId="2" type="noConversion"/>
  </si>
  <si>
    <t>그때 주가는 출시 전까지 오르다가 출시 이후 빠졌다.</t>
    <phoneticPr fontId="2" type="noConversion"/>
  </si>
  <si>
    <t>두 타이틀 발매의 차이점이라면 스바 출시 이후로는 슈퍼 IP 예정작이 없었고 왕눈 출시 5개월 이후 마리오 원더 발매가 예정되어 있었다.</t>
    <phoneticPr fontId="2" type="noConversion"/>
  </si>
  <si>
    <t>소프트웨어 흥행은 하드웨어 판매도 견인하기에 이러한 결과가 나온 것으로 생각된다.</t>
    <phoneticPr fontId="2" type="noConversion"/>
  </si>
  <si>
    <t>하나의 타이틀이 흥행한것이 이후 타이틀 흥행까지도 이어질 수 있느냐가 중요하다.</t>
    <phoneticPr fontId="2" type="noConversion"/>
  </si>
  <si>
    <t>이번 젤다 발매 이후 1달 뒤엔 마리오 파티 차기작이 예정 되어 있다.</t>
    <phoneticPr fontId="2" type="noConversion"/>
  </si>
  <si>
    <t>또한 후술하겠지만 스위치 2 발매 시 하위 호환 가능성이 높기에 모멘텀이 충분하다고 판단된다.</t>
    <phoneticPr fontId="2" type="noConversion"/>
  </si>
  <si>
    <t>지금 주가는 기대감이 식었는지 조금 떨어져 있는데 지혜의 투영이 빠른 시간 내로 1000만 장 돌파 시 모멘텀이 붙을 것으로 예상된다.</t>
    <phoneticPr fontId="2" type="noConversion"/>
  </si>
  <si>
    <t>젤다 모멘텀을 기대하는 투자자라면 지금 가격에 들어간 후 초기 반응을 열심히 보며 왕눈 같은 흥행이 가능할지 예측해보는 것이 좋을 것이다.</t>
    <phoneticPr fontId="2" type="noConversion"/>
  </si>
  <si>
    <t>마리오 파티 시리즈는 마리오 IP를 이용하여 미니게임을 곁들인 보드게임이다.</t>
    <phoneticPr fontId="2" type="noConversion"/>
  </si>
  <si>
    <t>젤다에 비해 마리오 파티 시리즈는 흥행이 아쉽기는 하지만 그래도 마리오 IP인 만큼 실적에 유의미한 기여를 해줄 것이다.</t>
    <phoneticPr fontId="2" type="noConversion"/>
  </si>
  <si>
    <t>전작 슈퍼스타즈가 리메이크판이고 이번 발매작은 신작인 점을 감안하면 유의미한 판매량을 보일 것으로 기대한다.</t>
    <phoneticPr fontId="2" type="noConversion"/>
  </si>
  <si>
    <t>여기부터는 개인적인 게임 감상평</t>
    <phoneticPr fontId="2" type="noConversion"/>
  </si>
  <si>
    <t>이번 신작은 최초로 젤다가 플레이어블 캐릭터이고 액션 요소 없이 퍼즐이 메인.</t>
    <phoneticPr fontId="2" type="noConversion"/>
  </si>
  <si>
    <t>기존 젤다 게임은 링크가 플레이어블 캐릭터이고 액션 요소 + 퍼즐 요소가 메인이었음.</t>
    <phoneticPr fontId="2" type="noConversion"/>
  </si>
  <si>
    <t>젤다가 퍼즐 기믹을 잘 만드는 게임이고 이것으로 유명하니 이번 신작 또한 기대감이 높은 상황</t>
    <phoneticPr fontId="2" type="noConversion"/>
  </si>
  <si>
    <t>본인도 야숨에서 퍼즐 시스템이 정말 맘에 들었고 '빌려온다'라는 기믹이 기대가 되는 상황</t>
    <phoneticPr fontId="2" type="noConversion"/>
  </si>
  <si>
    <t>야숨, 왕눈에서 호평을 받는 높은 자유돌르 살렸다면 3일만에 1000만 장 가능할 것 같고 그렇지 못한다면 대흥행까지는 아닐듯.</t>
    <phoneticPr fontId="2" type="noConversion"/>
  </si>
  <si>
    <t>2D 탑뷰 형식이 자유도에 제한을 걸지 않을까 우려되긴 하는데 젤다 개발자들을 믿는다!!!</t>
    <phoneticPr fontId="2" type="noConversion"/>
  </si>
  <si>
    <t>오른쪽 사진은 마리오 파티 잼버리 트레일러 캡쳐 사진이고 저런 맵에서 미니게임들을 즐기며 경쟁하는 게임이다.</t>
    <phoneticPr fontId="2" type="noConversion"/>
  </si>
  <si>
    <t>파티 게임으로 즐기기 좋고 다른 파티 게임들처럼 단기간 폭발적인 판매량보다 꾸준한 실적 하방을 제공해줄 것으로 보인다.</t>
    <phoneticPr fontId="2" type="noConversion"/>
  </si>
  <si>
    <t>투자 포인트 2. 스위치 2 출시</t>
    <phoneticPr fontId="2" type="noConversion"/>
  </si>
  <si>
    <t>슈퍼 마리오 파티 잼버리 (2024년 10월 17일 발매 예정)</t>
    <phoneticPr fontId="2" type="noConversion"/>
  </si>
  <si>
    <t>젤다의 전설 지혜의 투영 (2024년 9월 26일 발매 예정)</t>
    <phoneticPr fontId="2" type="noConversion"/>
  </si>
  <si>
    <t>두번째는 되팔이를 막기 위해 충분한 공급량을 확보하는 것을 중요하게 여긴다는 것이다.</t>
    <phoneticPr fontId="2" type="noConversion"/>
  </si>
  <si>
    <t>두번째 발언은 스위치가 코로나 시절 품귀 현상이 일어났었기 때문에 이를 의식한 것으로 보인다.</t>
    <phoneticPr fontId="2" type="noConversion"/>
  </si>
  <si>
    <t>개선된 성능</t>
    <phoneticPr fontId="2" type="noConversion"/>
  </si>
  <si>
    <t>일본의 회계연도는 내년 3월에 마무리 되므로 아무리 늦어도 2025년 3월까지는 스위치 2에 대한 정보가 확정 된다는 것이다.</t>
    <phoneticPr fontId="2" type="noConversion"/>
  </si>
  <si>
    <t>스위치가 2016년에 공개되고 2017년에 출시하였으므로 실제 출시는 이르면 2025년, 늦으면 2026년이 될 것으로 전망된다.</t>
    <phoneticPr fontId="2" type="noConversion"/>
  </si>
  <si>
    <t>SoC: NVDIA Tegra T239</t>
    <phoneticPr fontId="2" type="noConversion"/>
  </si>
  <si>
    <t>CPU: 8코어 ARM Cortex-A78C</t>
    <phoneticPr fontId="2" type="noConversion"/>
  </si>
  <si>
    <t>GPU: NVIDIA Ampere GA10F / 12 SMs</t>
    <phoneticPr fontId="2" type="noConversion"/>
  </si>
  <si>
    <t>독 성능: 3.5~4.5 TFLOPs (TV 연결 시)</t>
    <phoneticPr fontId="2" type="noConversion"/>
  </si>
  <si>
    <t>휴대용 성능: 1.7~2 TFLOPs (그냥 플레이 시)</t>
    <phoneticPr fontId="2" type="noConversion"/>
  </si>
  <si>
    <t>RAM: 12~16GB (LPDDR5/X)</t>
    <phoneticPr fontId="2" type="noConversion"/>
  </si>
  <si>
    <t>독 성능: 102GB/s로 추정</t>
    <phoneticPr fontId="2" type="noConversion"/>
  </si>
  <si>
    <t>휴대용 성능 88GB/s로 추정</t>
    <phoneticPr fontId="2" type="noConversion"/>
  </si>
  <si>
    <t>캐시: SysLC의 존재 여부는 알려지지 않았으나, 테그라 GPU는 CPU 캐시에 액세스하여 스스로 최적화 가능</t>
    <phoneticPr fontId="2" type="noConversion"/>
  </si>
  <si>
    <t>화면: 8인치 1080p LCD (60Hz)</t>
    <phoneticPr fontId="2" type="noConversion"/>
  </si>
  <si>
    <t>카트리지: 미정이지만 3D NAND는 기존 카트리지에 비해 비용을 절감하는 대신 공간을 크게 늘릴 수 있음</t>
    <phoneticPr fontId="2" type="noConversion"/>
  </si>
  <si>
    <t>내부 스토리지: 256GB, UFS 3.1</t>
    <phoneticPr fontId="2" type="noConversion"/>
  </si>
  <si>
    <t>Soc로 NVDIA Tegra T239 사용</t>
    <phoneticPr fontId="2" type="noConversion"/>
  </si>
  <si>
    <t>RAM은 12GB짜리 LPDDR5</t>
    <phoneticPr fontId="2" type="noConversion"/>
  </si>
  <si>
    <t>256GB짜리 UFS 3.1 스토리지</t>
    <phoneticPr fontId="2" type="noConversion"/>
  </si>
  <si>
    <t>여기에 dlss 업스케일링과 레이트레이싱을 지원해 그래픽이 더욱 우수해질 것이라고 한다.</t>
    <phoneticPr fontId="2" type="noConversion"/>
  </si>
  <si>
    <t>작성자는 이런 전자기기에 매우 문외한이라 적고 나서도 무슨 뜻인지 잘 모르겠다.</t>
    <phoneticPr fontId="2" type="noConversion"/>
  </si>
  <si>
    <t>이해하기 쉽게 정리하면 다음과 같다.</t>
    <phoneticPr fontId="2" type="noConversion"/>
  </si>
  <si>
    <t>성능 면에서 유의미하게 개선되는 부분은 연산 속도와 그래픽, 용량이다.</t>
    <phoneticPr fontId="2" type="noConversion"/>
  </si>
  <si>
    <t>(요약 정보는 215줄로)</t>
    <phoneticPr fontId="2" type="noConversion"/>
  </si>
  <si>
    <t>8~9세대기의 GPU 부동소수점 연산능력은 PS가 1.84Tflops, PS4 pro가 4.2 Tflops, PS5가 10.3 Tflops이다.</t>
    <phoneticPr fontId="2" type="noConversion"/>
  </si>
  <si>
    <t>기존 스위치 성능은 0.4 Tflops로 현재 많이 뒤쳐졌는데 스위치 2는 많이 개선된것이다.</t>
    <phoneticPr fontId="2" type="noConversion"/>
  </si>
  <si>
    <t>DLSS 업스케일링과 레이트레이싱 기술까지 적용되면 실제 성능(연산 능력과 그래픽)은 PS4 pro 정도로 예측된다.</t>
    <phoneticPr fontId="2" type="noConversion"/>
  </si>
  <si>
    <t>기존 스위치는 저장 용량이 32GB라 게임을 다운로드 하여 플레이하려면 금방 공간이 부족해져 SD카드를 따로 사야 했다.</t>
    <phoneticPr fontId="2" type="noConversion"/>
  </si>
  <si>
    <t>대부분 256GB나 512GB정도를 사는데 기본 용량이 256GB 정도면 유의미하게 늘어난 것이다.</t>
    <phoneticPr fontId="2" type="noConversion"/>
  </si>
  <si>
    <t>현재 스위치 기기는 플스나 엑스박스에 비해 성능 면에서 많이 밀린 상황이라 게이머들의 불만이 조금 있는 상황이었다.</t>
    <phoneticPr fontId="2" type="noConversion"/>
  </si>
  <si>
    <t>오브젝트가 많아지면 프레임 드랍이 일어나며 게임의 몰입도를 방해하는 경우가 가끔 있었다.</t>
    <phoneticPr fontId="2" type="noConversion"/>
  </si>
  <si>
    <t>현재 여러 게임 개발사들이 스위치 2로 게임 개발을 하고 있다.</t>
    <phoneticPr fontId="2" type="noConversion"/>
  </si>
  <si>
    <t>그들에 따르면 기존 스위치는 최적화를 위해 온갖 방법을 동원해야 했지만 이제는 그렇게까지 용을 쓸 필요가 없다고 한다.</t>
    <phoneticPr fontId="2" type="noConversion"/>
  </si>
  <si>
    <t>스퀘어 에닉스는 파이널 판타지 7 리메이크 버전을 스위치 2로 개발 중이라고 하는데 PS5 수준의 게임을 만들 수 있다고 한다.</t>
    <phoneticPr fontId="2" type="noConversion"/>
  </si>
  <si>
    <t>플레이 가능 타이틀</t>
    <phoneticPr fontId="2" type="noConversion"/>
  </si>
  <si>
    <t>오른쪽 그래프를 보면 OLED 모델 출시 이후 매출 비중이 점점 늘어난 것을 확인할 수 있다.</t>
    <phoneticPr fontId="2" type="noConversion"/>
  </si>
  <si>
    <t>OLED 모델은 단순히 LCD 크기만 늘어나고 유선 LAN이 가능해지고 용량이 2배 늘었을 뿐이다.</t>
    <phoneticPr fontId="2" type="noConversion"/>
  </si>
  <si>
    <t>실질적인 성능 개선이 없었음에도 새로운 기기를 사는 유저가 많았다는 것이다.</t>
    <phoneticPr fontId="2" type="noConversion"/>
  </si>
  <si>
    <t>그렇다면 PS 4.5 정도의 성능을 내는 스위치 2라면???</t>
    <phoneticPr fontId="2" type="noConversion"/>
  </si>
  <si>
    <t>스위치 1 출시 당시 야숨과 마리오 오딧세이 연타로 낸 것처럼 한 방 날려주면…</t>
    <phoneticPr fontId="2" type="noConversion"/>
  </si>
  <si>
    <t>스위치 2는 정말 불!티!나!게! 잘 팔릴 것이다.</t>
    <phoneticPr fontId="2" type="noConversion"/>
  </si>
  <si>
    <t>위에서 언급한 것처럼 스위치 1 성공 신화에는 휴대/거치 모두 가능한 게임 방식도 있었지만 야숨과 마리오 오딧세이의 영향이 컸다.</t>
    <phoneticPr fontId="2" type="noConversion"/>
  </si>
  <si>
    <t>아무리 기기 잘 만들어놔도 게이머들은 게임이 재미없으면 안 한다.</t>
    <phoneticPr fontId="2" type="noConversion"/>
  </si>
  <si>
    <t>심지어 스위치 1은 기존의 3DS나 Wii U와의 하위 호환이 안됐기에 스위치 전용 칩만 사야했다.</t>
    <phoneticPr fontId="2" type="noConversion"/>
  </si>
  <si>
    <t>일단 스위치 2의 가장 큰 관심사는 하위호환 여부이다.</t>
    <phoneticPr fontId="2" type="noConversion"/>
  </si>
  <si>
    <t>스위치 1에서 사용한 카트리지를 스위치 2에서 사용할 수 있는지가 중요하다.</t>
    <phoneticPr fontId="2" type="noConversion"/>
  </si>
  <si>
    <t>기기를 출시해도 플레이 할 게임이 있어야 게이머들이 기기를 살 것이기 때문이다.</t>
    <phoneticPr fontId="2" type="noConversion"/>
  </si>
  <si>
    <t>Ds-&gt;3DS나 Wii -&gt; Wii U 시절에도 하위 호환을 지원했다.</t>
    <phoneticPr fontId="2" type="noConversion"/>
  </si>
  <si>
    <t>그리고 게임스컴 현장에서 비공개로 야숨 플레이 테크 데모를 했다고 한다.</t>
    <phoneticPr fontId="2" type="noConversion"/>
  </si>
  <si>
    <t>스위치 2를 이용해 더 높은 해상도와 프레임으로 플레이 하는 모습을 보여줬다고 하니 하위 호환이 가능하게 개발 했다고 합리적 의심이 가능하다.</t>
    <phoneticPr fontId="2" type="noConversion"/>
  </si>
  <si>
    <t>심지어 스위치 2가 곧 공개된다고 공공연하게 말하는 이 시점에 젤다 신작, 마리오 파티 신작을 내고 있다.</t>
    <phoneticPr fontId="2" type="noConversion"/>
  </si>
  <si>
    <t>만약 하위 호환이 안 된다면 이번 출시 타이틀들은 잠깐 팔아먹고 마는 것인데 상식적으로 그런 경영을 할리가 없다.</t>
    <phoneticPr fontId="2" type="noConversion"/>
  </si>
  <si>
    <t>따라서 기존 스위치 1에서 플레이 가능한 타이틀들은 스위치 2에서 더 좋은 그래픽으로 즐길 수 있을 것이라는 것이 합리적인 추측이다.</t>
    <phoneticPr fontId="2" type="noConversion"/>
  </si>
  <si>
    <t>스위치 oled로 넘어가는 게이머가 많았던 것처럼 하위 호환이 가능하면 스위치 2로 넘어가는 게이머가 많을 것이다.</t>
    <phoneticPr fontId="2" type="noConversion"/>
  </si>
  <si>
    <t>또한 단순히 하위호환만 된다고 스위치 2가 불티나게 잘 팔릴 리가 없다.</t>
    <phoneticPr fontId="2" type="noConversion"/>
  </si>
  <si>
    <t>스위치 2 전용 킬러 타이틀이 출시 되어야 한다.</t>
    <phoneticPr fontId="2" type="noConversion"/>
  </si>
  <si>
    <t>2025년 중에 포켓몬 레전드 z-a의 출시가 예정되어 있다.</t>
    <phoneticPr fontId="2" type="noConversion"/>
  </si>
  <si>
    <t>아마 스위치 2가 나오고 스위치 2 전용 포켓몬을 내어 신규 유저 유입이 가능하게 하지 않을까 싶다.</t>
    <phoneticPr fontId="2" type="noConversion"/>
  </si>
  <si>
    <t>마찬가지로 2025년 중에 메트로이드 프라임 4 비욘드의 출시가 예정되어 있다.</t>
    <phoneticPr fontId="2" type="noConversion"/>
  </si>
  <si>
    <t>(여기부터는 진짜 뇌피셜)</t>
    <phoneticPr fontId="2" type="noConversion"/>
  </si>
  <si>
    <t>아직 발매 예정 소식은 없지만 기대가 가능한 몇몇 IP들이 있다.</t>
    <phoneticPr fontId="2" type="noConversion"/>
  </si>
  <si>
    <t>우선 마포젤 중 대장 마리오이다.</t>
    <phoneticPr fontId="2" type="noConversion"/>
  </si>
  <si>
    <t>마리오 IP 중 스위치 발매작은 2023년 마리오 원더, 2021년 3d 월드, 2019년 마리오 메이커 2, 2019년 뉴슈마 u 디럭스, 2017년 마리오 오디세이다.</t>
    <phoneticPr fontId="2" type="noConversion"/>
  </si>
  <si>
    <t>이 중 뉴슈마 u 디럭스는 리메이크판, 마리오 메이커 2는 기존 마리오 메이커 1의 후속작이므로 정말 신작은 3개이다.</t>
    <phoneticPr fontId="2" type="noConversion"/>
  </si>
  <si>
    <t>마리오 원더는 2D이고 나머지 2개는 3D인데 스위치 2에서 3D 마리오가 안 나오는 건 말이 안된다고 생각한다.</t>
    <phoneticPr fontId="2" type="noConversion"/>
  </si>
  <si>
    <t>마지막 3d 마리오가 2021년이었는데 슬슬 쿨타임 돌았다.</t>
    <phoneticPr fontId="2" type="noConversion"/>
  </si>
  <si>
    <t>26년이나 늦어도 27년에는 3D 마리오가 나와서 흥행 한 번 해줄 것으로 기대한다.</t>
    <phoneticPr fontId="2" type="noConversion"/>
  </si>
  <si>
    <t>또한 슈퍼 메가 IP 마리오 카트도 8이 2017년에 나왔기에 슬슬 스위치 2 발매에 맞춰서 국밥 IP로 하나 출시할 때가 됐다.</t>
    <phoneticPr fontId="2" type="noConversion"/>
  </si>
  <si>
    <t>스매시 브라더스도 국밥 IP로 매 기기마다 한 건씩 해줬는데 2019년에 나와서 기대할 만하다.</t>
    <phoneticPr fontId="2" type="noConversion"/>
  </si>
  <si>
    <t>이번 스위치 1에서 과거 IP였던 피크민을 부활 시킨 것처럼 과거 인기 IP들을 불러올 수도 있다.</t>
    <phoneticPr fontId="2" type="noConversion"/>
  </si>
  <si>
    <t>닌텐독스나 리듬세상처럼 DS 인기 IP를 스위치 2 버전으로 출시해 여성 유저 유입 효과도 기대해 볼 수 있다.</t>
    <phoneticPr fontId="2" type="noConversion"/>
  </si>
  <si>
    <t>정리하자면…</t>
    <phoneticPr fontId="2" type="noConversion"/>
  </si>
  <si>
    <t>하위호환 무조건 가능할 것 같고 킬러 IP들 대기 중이다.</t>
    <phoneticPr fontId="2" type="noConversion"/>
  </si>
  <si>
    <t>기존의 스위치 1은 여러 가지 문제점들이 많았었다.</t>
    <phoneticPr fontId="2" type="noConversion"/>
  </si>
  <si>
    <t>원래 콘솔 기기들은 이런 저런 문제가 많은데 스위치는 휴대용+거치용 게임기이기에 휴대용의 문제점, 거치용의 문제점을 모두 가지고 있었다.</t>
    <phoneticPr fontId="2" type="noConversion"/>
  </si>
  <si>
    <t>가장 큰 문제점인 프레임 드랍 현상 같은 그래픽 문제에 대해서는 위에서 설명했고 스위치 2에서 대폭 개선될 것으로 예상된다.</t>
    <phoneticPr fontId="2" type="noConversion"/>
  </si>
  <si>
    <t>그다음으로 성능상 중요한 문제는 발열 문제와 조이콘 쏠림 현상이다.</t>
    <phoneticPr fontId="2" type="noConversion"/>
  </si>
  <si>
    <t>장시간 플레이를 하다보면 본체에서 발열이 일어나고 독이 휘는 경우도 있다고 한다.</t>
    <phoneticPr fontId="2" type="noConversion"/>
  </si>
  <si>
    <t>작성자 본인이 플레이 해본 결과 휘는건 잘 모르겠지만 3~4시간 플레이하고 나면 기기가 아주 뜨끈뜨끈 하다.</t>
    <phoneticPr fontId="2" type="noConversion"/>
  </si>
  <si>
    <t>문제점이 많은데도 플레이 해주는 게이머들</t>
    <phoneticPr fontId="2" type="noConversion"/>
  </si>
  <si>
    <t>스틱 모듈 하단 센서 필름에 불순물이 유입되어 들러붙게 되면 센서가 스틱을 제대로 감지 못해 실제 조작과 무관하게 움직인 것으로 인식하는 현상이다.</t>
    <phoneticPr fontId="2" type="noConversion"/>
  </si>
  <si>
    <t>이외에도 몇가지 짜잘한 아쉬운 점들도 있다.</t>
    <phoneticPr fontId="2" type="noConversion"/>
  </si>
  <si>
    <t>업데이트나 게임 다운로드가 매우 느리고 다른 유저와의 멀티도 원활하지 않다.</t>
    <phoneticPr fontId="2" type="noConversion"/>
  </si>
  <si>
    <t>스팀과 같은 업적 시스템이 있으면 좋을 것 같다는 게이머들도 꽤 있다.</t>
    <phoneticPr fontId="2" type="noConversion"/>
  </si>
  <si>
    <t>그리고 eshop의 인터페이스는 정말 shit이고 필터링도 안되는 등 사용상 불편하기까지 하다.</t>
    <phoneticPr fontId="2" type="noConversion"/>
  </si>
  <si>
    <t>좋은 성능과 최첨단 기술을 기대하는 게이머들은 플스나 엑스박스를 산다.</t>
    <phoneticPr fontId="2" type="noConversion"/>
  </si>
  <si>
    <t>슈퍼 IP들을 퍼스트, 세컨 파티로 보유한 상황에서 스위치 2에서 1,2가지 문제만 개선해줘도 게이머들은 열광할 것이다.</t>
    <phoneticPr fontId="2" type="noConversion"/>
  </si>
  <si>
    <t>그래서 스위치 2의 출시가 매우 기대가 된다.</t>
    <phoneticPr fontId="2" type="noConversion"/>
  </si>
  <si>
    <t>생각할 지점: AAA 게임의 몰락?</t>
    <phoneticPr fontId="2" type="noConversion"/>
  </si>
  <si>
    <t>메트로이드 시리즈는 마포젤처럼 슈퍼 IP는 아니지만 팬층이 두터운 AAA 게임으로 코어 게이머 유입 효과가 있을 것으로 기대된다.</t>
  </si>
  <si>
    <t>최근 AAA 게임들에 대한 선호가 줄어들고 BEP를 넘기기 어려운 상황에서 크로스 플랫폼을 선언하는 게임사들이 많아지는 상황에서 30%에 달하는 opm은 닌텐도 IP의 위력을 잘 보여준다고 생각하낟.</t>
  </si>
  <si>
    <t>AAA 게임들이 BEP를 넘기기 어려워지며 크로스 플랫폼을 선언하는 지금 PC 게임의 미래는 매우 밝다고 말할 수 있다.</t>
  </si>
  <si>
    <t>게임 업계에서는 대형 게임사가 대량의 제작비를 투입하여 양질의 게임을 만ㄷ르어 수 백만장의 판매량을 목표로 하는 게임을 AAA 게임이라 한다.</t>
    <phoneticPr fontId="2" type="noConversion"/>
  </si>
  <si>
    <t>제작비에는 개발비 뿐만 아니라 막대한 마케팅 비용까지 포함되어 게임계의 블록버스터 영화라고 생각하면 편하다.</t>
    <phoneticPr fontId="2" type="noConversion"/>
  </si>
  <si>
    <t>특징으로는 영화적인 연출과 높은 게임성, 완벽한 스토리텔링이 있다.</t>
    <phoneticPr fontId="2" type="noConversion"/>
  </si>
  <si>
    <t>AAA 게임의 70% 이상은 북미와 일본에서 개발되고 북미 게이머들이 AAA게임에 주로 환장한다.</t>
    <phoneticPr fontId="2" type="noConversion"/>
  </si>
  <si>
    <t>그래서 블랙 프라이데이를 노리고 연말에 출시를 하려는 경향이 크다.</t>
    <phoneticPr fontId="2" type="noConversion"/>
  </si>
  <si>
    <t>AAA게임의 예시로는 흔히 아는 GTA 시리즈, 어쌔신 크리드 시리즈 같은 것이 있다.</t>
    <phoneticPr fontId="2" type="noConversion"/>
  </si>
  <si>
    <t>하지만 최근 개발비가 기하급수적으로 늘어나며 BEP를 맞추기 힘들어지자 플스는 PC에도 독점작을 풀기 시작했다.</t>
    <phoneticPr fontId="2" type="noConversion"/>
  </si>
  <si>
    <t>호라이즌, 갓오브워, 라쳇앤클랭크, 더 라스트 오브 어스 같은 슈퍼 IP AAA게임들을 크로스 플랫폼으로 내놓은 것이다.</t>
    <phoneticPr fontId="2" type="noConversion"/>
  </si>
  <si>
    <t>개발비가 늘어난 배경</t>
    <phoneticPr fontId="2" type="noConversion"/>
  </si>
  <si>
    <t>시간이 흐르면서 게임 제작사들의 개발 기술력이 좋아질수록 AAA게임들은 광원 효과나 고사양 그ㅐ픽을 비롯한 '영화 같은 연출'에 집착하는 경향을 보여 왔다.</t>
    <phoneticPr fontId="2" type="noConversion"/>
  </si>
  <si>
    <t>더 라스트 오브 어스가 처음 발매 되어 game of this year(이하 고티)를 쓸어 담은게 그 시자이다.</t>
    <phoneticPr fontId="2" type="noConversion"/>
  </si>
  <si>
    <t>더 라스트 오브 어스의 영화적 연출과 스토리에 게이머가 환호하자 영화 산업 종사자를 데려 오고 그래픽에도 막대한 비용을 투자하기 시작했다.</t>
    <phoneticPr fontId="2" type="noConversion"/>
  </si>
  <si>
    <t>심지어 야숨 이후 오픈 월드 게임의 새로운 지평이 열리며 대다수의 게임이 오픈 월드 형식으로 출시 되고 있다.</t>
    <phoneticPr fontId="2" type="noConversion"/>
  </si>
  <si>
    <t>오픈 월드 게임은 그 자유도로 인해 필연적으로 게임 개발비가 많이 들 수 밖에 없다.</t>
    <phoneticPr fontId="2" type="noConversion"/>
  </si>
  <si>
    <t>최근 AAA게임 하나를 개발하는데 평균 2억 달러 이상 든다고 한다.</t>
    <phoneticPr fontId="2" type="noConversion"/>
  </si>
  <si>
    <t>마소의 블리자드 인수 당시 소니 측의 실수로 호라이즌 포비든 웨스트의 제작비가 2.12억 달러, 라스트 오브 어스 파트 2의 제작비가 2.2억 달러라는 사실이 유출 되었다.</t>
    <phoneticPr fontId="2" type="noConversion"/>
  </si>
  <si>
    <t>그런데도 게이머들은 이미 그래픽과 스케일 측면에서 기대감이 높아져버렸고 예산을 줄여 그래픽과 스케일이 떨어지는 게임을 낼 수가 없는 상황인 것이다.</t>
    <phoneticPr fontId="2" type="noConversion"/>
  </si>
  <si>
    <t>가성비 있게 게임을 만들어 버리면 "텍스처 돌려 썼네", "전작이랑 그래픽 차이 벼로 안 나네" 같은 말을 해버리는 상황이다.</t>
    <phoneticPr fontId="2" type="noConversion"/>
  </si>
  <si>
    <t>과거 게임들은 엔딩이 있어서 하나의 게임을 클리어하고 후속작이 나오면 그대로 플레이하는 사람들이 많았다.</t>
    <phoneticPr fontId="2" type="noConversion"/>
  </si>
  <si>
    <t>하지만 최근에는 엔딩이 없는 게임들이 인기를 끌고 있다.</t>
    <phoneticPr fontId="2" type="noConversion"/>
  </si>
  <si>
    <t>대표적으로 리그 오브 레전드, 포트나이트, 콜 오브 듀티와 같은 멀티형 대전 게임들이다.</t>
    <phoneticPr fontId="2" type="noConversion"/>
  </si>
  <si>
    <t>이러한 게임들을 라이브 서비스 게임이라고 한다.</t>
    <phoneticPr fontId="2" type="noConversion"/>
  </si>
  <si>
    <t>라이브 서비스 게임의 등장</t>
    <phoneticPr fontId="2" type="noConversion"/>
  </si>
  <si>
    <t>라이브 서비스 게임은 여러 의미로 우수한 BM이다.</t>
    <phoneticPr fontId="2" type="noConversion"/>
  </si>
  <si>
    <t>생애 주기가 명확한 패키지 게임과 비교했을 때 수 년 단위로 높은 수익을 창출할 수 있어 ROE가 좋다.</t>
    <phoneticPr fontId="2" type="noConversion"/>
  </si>
  <si>
    <t>원활한 현금흐름을 바탕으로 타 게임 개발비도 충당하기 십다.</t>
    <phoneticPr fontId="2" type="noConversion"/>
  </si>
  <si>
    <t>유저 입장에서도 좋아하는 작품이 끝도 없이 즐길 수 있다는 점이 만족스럽다.</t>
    <phoneticPr fontId="2" type="noConversion"/>
  </si>
  <si>
    <t>라이브 서비스 게임들이 게이머를 붙잡고 놔주지 않으니 AAA게임 입장에서는 파이가 줄어들게 된 셈이다.</t>
    <phoneticPr fontId="2" type="noConversion"/>
  </si>
  <si>
    <t>1990년도나 2000년도까지만 해도 라이브 서비스 게임이 적어 콘솔 게임사들 입장에서는 내는대로 잘 팔렸지만 이제는 그렇지 않다.</t>
    <phoneticPr fontId="2" type="noConversion"/>
  </si>
  <si>
    <t>다른 AAA 게임들이 개발비 인상으로 인해 겪는 문제는 크게 2가지이다.</t>
    <phoneticPr fontId="2" type="noConversion"/>
  </si>
  <si>
    <t>일단 수익이 안 나오는건 너무나도 당연하고 개발 환경이 열악해지는 것이다.</t>
    <phoneticPr fontId="2" type="noConversion"/>
  </si>
  <si>
    <t>AAA 게임 개발의 규모가 방대해질수록 작품성보다 상품성이 중요해지고 하나의 사업 프로젝트가 되어 버린다.</t>
    <phoneticPr fontId="2" type="noConversion"/>
  </si>
  <si>
    <t>자연스레 개발자보다 경영진과 투자자들의 목소리가 커지는데 게임 자체 퀄리티보다 수익에만 집중을 하게 된다.</t>
    <phoneticPr fontId="2" type="noConversion"/>
  </si>
  <si>
    <t>온라인 게임들은 이러한 전략이 통한다고 하지만 AAA 게임을 사주는 근간에는 게임 퀄리티가 있기에 장기적으로 게이머들이 떠날 수 밖에 없다.</t>
    <phoneticPr fontId="2" type="noConversion"/>
  </si>
  <si>
    <t>그렇다고 게임 가격을 올려서 출시하기엔 이미 지금도 게임 가격은 충분히 비싸다</t>
    <phoneticPr fontId="2" type="noConversion"/>
  </si>
  <si>
    <t>패키지 게임은 구매 시점에 자신이 이 게임을 플레이하여 어느 정도의 효용을 얻을 지 모르므로 게임 가격이 너무 높아지면 심리적 부담이 커질 것이다.</t>
    <phoneticPr fontId="2" type="noConversion"/>
  </si>
  <si>
    <t>영화, 드라마 종합 세트를 제공하는 ott들이 치킨 값 밖에 못 받는 이유와 마찬가지이다.</t>
    <phoneticPr fontId="2" type="noConversion"/>
  </si>
  <si>
    <t>항상 게임 퀄리티를 1순위로 생각하며 마음에 들지 않는 경우 출시 기한도 연장하며 최고의 작품들만 내려는 장인 정신을 유지해왔다.</t>
    <phoneticPr fontId="2" type="noConversion"/>
  </si>
  <si>
    <t>Wii U로 인해 2010년대 초반에 수익성이 악화되었을 때도 현금을 쌓아두며 스위치 개발에만 몰두할 만큼 뚝심 있는 경영으로 유명하다.</t>
    <phoneticPr fontId="2" type="noConversion"/>
  </si>
  <si>
    <t>쉬운 인터페이스와 게임 자체의 재미를 추구하는 덕분에 개발비 부담도 줄어들면서 슈퍼 IP를 지킬 수 있었다.</t>
    <phoneticPr fontId="2" type="noConversion"/>
  </si>
  <si>
    <t>포브스 추산 야숨 손익분기점 판매량이 200만장이었다.</t>
    <phoneticPr fontId="2" type="noConversion"/>
  </si>
  <si>
    <t>근데 야숨은 한달만에 778만 장 팔았고 지금까지는 총 3185만장 팔았다.</t>
    <phoneticPr fontId="2" type="noConversion"/>
  </si>
  <si>
    <t>매출액의 10%도 지출을 안하는 것이다.</t>
    <phoneticPr fontId="2" type="noConversion"/>
  </si>
  <si>
    <t>투자 판단</t>
    <phoneticPr fontId="2" type="noConversion"/>
  </si>
  <si>
    <t>타 콘솔사 소니와 마이크로소프트는 다양한 사업을 영위하고 있기에 peer로 잡기 애매해 historical per로 투자판단을 내리겠다.</t>
    <phoneticPr fontId="2" type="noConversion"/>
  </si>
  <si>
    <t>스위치가 2017년 3월 3일 출시 되었는데 이때 per이 급격히 오르고 이후에는 안정되어 10배에서 20배 정도를 받는다.</t>
    <phoneticPr fontId="2" type="noConversion"/>
  </si>
  <si>
    <t>만약 스위치 2가 예상대로 성능도 좋고 잘 팔린다면 리레이팅을 해줄 여지가 충분하다고 생각된다.</t>
    <phoneticPr fontId="2" type="noConversion"/>
  </si>
  <si>
    <t>그래서 target per로 높으면 30, 낮으면 20 정도 주는게 맞다고 생각한다.</t>
    <phoneticPr fontId="2" type="noConversion"/>
  </si>
  <si>
    <t>정확한 실적추정을 내기에는 무리가 있는게 스위치 2의 정확한 출시일도 미공개다.</t>
    <phoneticPr fontId="2" type="noConversion"/>
  </si>
  <si>
    <t>투자 포인트 메인이 스위치 2라서 실적을 정확히 추정하기는 힘들다.</t>
    <phoneticPr fontId="2" type="noConversion"/>
  </si>
  <si>
    <t>그리고 내년에 어떤 작품들이 예정되어 있는지도 확실하지 않기에 밸류에이션이 어렵다.</t>
    <phoneticPr fontId="2" type="noConversion"/>
  </si>
  <si>
    <t>개인적으로 조사하면서 느낀 점은 이 기업은 슈퍼 IP를 바탕으로 계속 흥행을 만들어 내 단기 수익으로 알파를 내기 어렵다고 생각했다.</t>
    <phoneticPr fontId="2" type="noConversion"/>
  </si>
  <si>
    <t>개인 투자자가 기관보다 더 빨리 판매 실적을 트래킹하기는 어려울 것이고 엣지 내려면 장기 투자로 가야 한다.</t>
    <phoneticPr fontId="2" type="noConversion"/>
  </si>
  <si>
    <t>개인적으로 젤다 출시 이후 per이 15 정도 까지 떨어진 상태에서 싸게 진입하고 트래킹하는게 맞다고 생각한다. (현재 per 19.8)</t>
    <phoneticPr fontId="2" type="noConversion"/>
  </si>
  <si>
    <t>2. 매출 감소, 동사는 항상 현금을 많이 보유하고 있는데 엔고에 따른 달러 자산 손실도 컸음.</t>
  </si>
  <si>
    <t>8. 코로나 19로 인한 동사 품귀 현상 + 동물의 숲의 대흥행</t>
  </si>
  <si>
    <t>video game platform은 동사 하드웨어, 소프트웨어 판매와 DLC 판매, 아미보 판매 매출이 포함되어 동사 매출의 92~97%를 차지한다.</t>
  </si>
  <si>
    <t>이는 동사가 저가 전략을 펼치기에 가능한 일이다.</t>
  </si>
  <si>
    <t>동사는 하드웨어 판매로도 마진을 남겨 먹자는 경영 방침이 있기에 그러한 경향이 적기는 하지만 소프트웨어의 판매 마진이 확실히 좋은 것을 확인할 수 있다.</t>
  </si>
  <si>
    <t>동사 3대 IP 포켓몬, 마리오, 젤다 중 하나인 젤다의 전설은 냈다 하면 호평을 받는 효자 IP이다.</t>
  </si>
  <si>
    <t>스위치 2의 스펙이나 특징에 대해 동사 측이 공식적으로 발표한 것은 단 하나도 없지만 신뢰 있는 유출 정보만 정리하면 다음과 같다.</t>
  </si>
  <si>
    <t>universo nintendo의 편집장이자 브라질 동사계 인사이더 NecroLip가 엔비디아 유출과 자신의 소스로부터 들은 정보를 토대로 예상 스펙을 정리했다.</t>
  </si>
  <si>
    <t>동사 전문 커뮤니티 Famiboards의 한 회원이 동사 베트남 생산라인으로 추정되는 공장의 세관 통과 물품을 백트래킹하여 이 중 몇 가지를 확인하였다.</t>
  </si>
  <si>
    <t>최근 발매된 AAA 게임들은 그래픽이 뛰어나 동사로 발매하기엔 무리가 있었다.</t>
  </si>
  <si>
    <t>만약 PS4 pro 정도의 스펙으로 출시되면 기존 프레임 드랍 문제도 해결되고 AAA 게임들도 동사의 서드 파티로 더욱 유입될 것이다.</t>
  </si>
  <si>
    <t>소니가 퍼스트 파티 게임들을 크로스 플랫폼으로 출시하는 상황에서 더 많은 서드 파티 게임들이 동사로 유입된다면 동사의 생태계에 대한 락인 효과는 더욱 커질 것이다.</t>
  </si>
  <si>
    <t>이제 다른 게임 기기를 구매하지 않아도 동사의 슈퍼 IP 게임과 AAA 게임을 하나의 기기로 즐길 수 있기 때문이다.</t>
  </si>
  <si>
    <t>동사는 스팀으로도 자사 IP 게임을 내지 않을 정도로 IP 지키기로 유명해 장기적으로 MS 상승을 기대해 볼 수 있을 것이다.</t>
  </si>
  <si>
    <t>역사적으로 동사는 기기를 크게 갈아 엎지 않은 이상 하위 호환이 가능했다.</t>
  </si>
  <si>
    <t>그리고 툭하면 내주는 젤다 과거 작품 리마스터 버전도 스위치 2버전으로 출시하면 동사 입장에서 적은 개발 비용으로 유저 모으기 좋을 것이다.</t>
  </si>
  <si>
    <t>동사는 하루 빨리 스위치 2 출시하기만 하면 게이머들을 유혹할만한 게임들은 넘쳐난다는 것이다.</t>
  </si>
  <si>
    <t>그리고 애초에 동사가 저가형 게임기 전략을 펼치기에 비용 상의 문제로 기기적 결함이 발생하기도 했다.</t>
  </si>
  <si>
    <t>조이콘 쏠림 현상은 동사 전용 컨트롤러에서 설계 결함의 문제로 나타나는 현상이다.</t>
  </si>
  <si>
    <t>2020년 이에 대해 동사 측이 공식적으로 인정하고 사과했지만 실질적인 개선이 없었다.</t>
  </si>
  <si>
    <t>동사가 운영하는 서버 수가 적은 것인지 인터넷이 매우 느리다.</t>
  </si>
  <si>
    <t>다인용 게임을 장려하는 동사인도 자체 마이크가 없는것도 아이러니 하다.</t>
  </si>
  <si>
    <t>친구추가 시스템도 동사 계정을 이용하는 것이 아니라 코드를 입력하는 방식이라 귀찮다.</t>
  </si>
  <si>
    <t>그럼에도 게이머들은 동사를 사준다.</t>
  </si>
  <si>
    <t>애초에 동사에게 압도적 성능을 기대하지 않기 때문이다.</t>
  </si>
  <si>
    <t>동사를 구매하는 게이머들은 오직 IP 하나만 보고 구매하는 것이다.</t>
  </si>
  <si>
    <t>플스나 엑박이었으면 당연히 해줘야할 권리이지만 동사 유저들한테는 뜻하지 않은 선물이나 마찬가지다.</t>
  </si>
  <si>
    <t>동사도 마찬가지로 3분기에 계절성이 있는것이 소비를 많이 하는 효과도 있지만 애초에 3분기에 슈퍼 IP 작품들을 출시한다.</t>
  </si>
  <si>
    <t>동사도 이러한 정의에 따르면 AAA게임을 제작하는 회사이다.</t>
  </si>
  <si>
    <t>그리고 플스도 동사처럼 AAA게임들을 독점작으로 많이 가지고 있었다.</t>
  </si>
  <si>
    <t>동사도 엄연히 AAA 게임을 위주로 발매하는 기업이다.</t>
  </si>
  <si>
    <t>그럼 동사도 마찬가지로 BEP를 맞추기 힘든 상황일까?</t>
  </si>
  <si>
    <t>하지만 동사는 그렇지 않다.</t>
  </si>
  <si>
    <t>동사는 개발 친화적인 환경으로 유명하다.</t>
  </si>
  <si>
    <t>또한 동사는 수십년간 자사 IP들을 절대 다른 플랫폼에 출시하지도 않았다.</t>
  </si>
  <si>
    <t>동사 게임들은 시네마틱 컷 신 비중이 적은 게임들을 제작해 비교적 제작비도 적고 앞으로도 그런 게임이 나올 가능성은 적다.</t>
  </si>
  <si>
    <t>왜냐하면 동사의 게임 제작 방침은 누구나 부담없이 구매할 수 있는 가격으로 만드는 것이기 때문이다.</t>
  </si>
  <si>
    <t>동사는 작년엔 R&amp;D로 110B엔을 지출했고 올해는 138B엔을 지출했다.</t>
  </si>
  <si>
    <t>동사를 플레이하는 유저 입장에서 생각해봐도 동사가 게임에 막대한 예산을 투자하지 않아도 계속 구매해서 즐길 수 있다.</t>
  </si>
  <si>
    <t>동사의 게임들에서 화려한 그래픽을 기대하는 사람들이 없다는 건 이미 플스와의 비교에서 증명되었다.</t>
  </si>
  <si>
    <t>게이머들이 동사에게 기대하는 것은 동사 특유의 독창성과 게임의 완성도이다.</t>
  </si>
  <si>
    <t>따라서 동사는 현재 이어온 경영 방침을 꾸준히 이어가며 막대한 개발비 없이도 AAA 게임을 문제없이 만들며 독점작으로 유지 시킬 수 있을 것이다.</t>
  </si>
  <si>
    <t>거기에 플스에서 풀린 독점작들이 서드 파티로 넘어 오면 동사의 업사이드는 더욱 커지게 된다.</t>
  </si>
  <si>
    <t>스위치가 나올 때 당시에는 동사가 엄청난 불황을 겪고 있었기에 per 4~50배가 적당하다고 치면 지금은 그정도의 고성장은 힘들다.</t>
  </si>
  <si>
    <t>장기적으로 스위치 2부터 해서 동사의 경영 방침이 통해 콘솔 시장에서 파이를 더 가져오려면 우선 스위치 2의 스펙을 봐야 한다.</t>
  </si>
  <si>
    <t>스위치 2가 플스 4 pro 정도 성능을 보여야 하고 그로 인해 플스의 세컨, 서드 파티 게임들이 동사의 서드 파티로 넘어올 필요가 있다.</t>
  </si>
  <si>
    <t>그럼 소프트웨어 매출이 오르면서 영업 레버리지가 크게 걸릴 것이고 동사의 입지도 단단해져 per도 오를 것이다.</t>
  </si>
  <si>
    <t>1.  닌텐도 DS, Wii의 대성공으로 인한 EPS 상승. 플스 2의 대성공으로 서드 파티 게임들을 뺏긴 상황에서 다양한 연령층과 여성 유저층을 공략함으로써 BM 변경</t>
    <phoneticPr fontId="2" type="noConversion"/>
  </si>
  <si>
    <t>7. 닌텐도 스위치 출시. 대흥행</t>
    <phoneticPr fontId="2" type="noConversion"/>
  </si>
  <si>
    <t>특히 닌텐도 스위치와 같이 발매된 브레스 오브 더 와일드(이하 야숨)는 오픈월드 게임의 지평을 열었다는 평가와 함께 신규 유저를 많이 모았다.</t>
  </si>
  <si>
    <t>2017년 닌텐도 스위치가 정식 출시하고 무려 7년이나 지나 차세대 기기 발매가 공식적으로 발표 되었다.</t>
  </si>
  <si>
    <t>첫번째는 기존 닌텐도 스위치에서 스위치 2로 전환할 때 동사 어카운트를 잘 활용할 것이라는 것이다.</t>
  </si>
  <si>
    <t>닌텐도 스위치를 거치용으로 플레이할 때는 오른쪽 사진 같이 독에 본체를 끼워서 플레이 한다.</t>
  </si>
  <si>
    <t>2024년 5월 7일 닌텐도 사장 후루카와 슌타로가 동사 공식 X를 통해 이번 회계 연도 내에 스위치 후계기(이하 스위치 2)를 발표할 것이라고 했다.</t>
    <phoneticPr fontId="2" type="noConversion"/>
  </si>
  <si>
    <t>스위치 2와 관련하여 닌텐도 측이 공식적으로 말한 것은 2가지이다.</t>
    <phoneticPr fontId="2" type="noConversion"/>
  </si>
  <si>
    <t>이러한 상황에서의 닌텐도의 입지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</si>
</sst>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6" formatCode="0_ "/>
    <numFmt numFmtId="177" formatCode="0.0%"/>
    <numFmt numFmtId="178" formatCode="0_);[Red]\(0\)"/>
    <numFmt numFmtId="179" formatCode="0.00_ "/>
  </numFmts>
  <fonts count="12">
    <font>
      <sz val="11"/>
      <color theme="1"/>
      <name val="맑은 고딕"/>
      <family val="2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b/>
      <sz val="11"/>
      <color theme="0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20"/>
      <color theme="0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theme="0" tint="-0.24994659260841701"/>
        <bgColor indexed="64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-0.499984740745262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3">
    <xf numFmtId="0" fontId="0" fillId="0" borderId="0">
      <alignment vertical="center"/>
    </xf>
    <xf numFmtId="0" fontId="1" fillId="2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</cellStyleXfs>
  <cellXfs count="51">
    <xf numFmtId="0" fontId="0" fillId="0" borderId="0" xfId="0">
      <alignment vertical="center"/>
    </xf>
    <xf numFmtId="0" fontId="0" fillId="0" borderId="0" xfId="0" applyBorder="1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1" fillId="3" borderId="0" xfId="1" applyFill="1">
      <alignment vertical="center"/>
    </xf>
    <xf numFmtId="0" fontId="3" fillId="5" borderId="0" xfId="2" applyFill="1">
      <alignment vertical="center"/>
    </xf>
    <xf numFmtId="0" fontId="4" fillId="6" borderId="0" xfId="0" applyFont="1" applyFill="1">
      <alignment vertical="center"/>
    </xf>
    <xf numFmtId="0" fontId="5" fillId="8" borderId="0" xfId="0" applyFont="1" applyFill="1">
      <alignment vertical="center"/>
    </xf>
    <xf numFmtId="0" fontId="6" fillId="8" borderId="0" xfId="0" applyFont="1" applyFill="1">
      <alignment vertical="center"/>
    </xf>
    <xf numFmtId="0" fontId="6" fillId="7" borderId="0" xfId="0" applyFont="1" applyFill="1">
      <alignment vertical="center"/>
    </xf>
    <xf numFmtId="0" fontId="7" fillId="7" borderId="0" xfId="0" applyFont="1" applyFill="1" applyAlignment="1">
      <alignment horizontal="left" vertical="center" indent="1"/>
    </xf>
    <xf numFmtId="0" fontId="5" fillId="7" borderId="0" xfId="0" applyFont="1" applyFill="1" applyAlignment="1">
      <alignment horizontal="left" vertical="center" indent="2"/>
    </xf>
    <xf numFmtId="0" fontId="8" fillId="8" borderId="0" xfId="0" applyFont="1" applyFill="1">
      <alignment vertical="center"/>
    </xf>
    <xf numFmtId="0" fontId="8" fillId="0" borderId="0" xfId="0" applyFont="1">
      <alignment vertical="center"/>
    </xf>
    <xf numFmtId="0" fontId="0" fillId="7" borderId="0" xfId="0" applyFill="1">
      <alignment vertical="center"/>
    </xf>
    <xf numFmtId="176" fontId="8" fillId="8" borderId="0" xfId="0" applyNumberFormat="1" applyFont="1" applyFill="1">
      <alignment vertical="center"/>
    </xf>
    <xf numFmtId="177" fontId="0" fillId="7" borderId="0" xfId="0" applyNumberFormat="1" applyFill="1">
      <alignment vertical="center"/>
    </xf>
    <xf numFmtId="0" fontId="8" fillId="7" borderId="0" xfId="0" applyFont="1" applyFill="1" applyAlignment="1">
      <alignment horizontal="left" vertical="center" indent="1"/>
    </xf>
    <xf numFmtId="176" fontId="0" fillId="7" borderId="0" xfId="0" applyNumberFormat="1" applyFill="1">
      <alignment vertical="center"/>
    </xf>
    <xf numFmtId="176" fontId="4" fillId="9" borderId="0" xfId="0" applyNumberFormat="1" applyFont="1" applyFill="1">
      <alignment vertical="center"/>
    </xf>
    <xf numFmtId="0" fontId="4" fillId="9" borderId="0" xfId="0" applyFont="1" applyFill="1">
      <alignment vertical="center"/>
    </xf>
    <xf numFmtId="178" fontId="8" fillId="8" borderId="0" xfId="0" applyNumberFormat="1" applyFont="1" applyFill="1">
      <alignment vertical="center"/>
    </xf>
    <xf numFmtId="0" fontId="9" fillId="6" borderId="0" xfId="0" applyFont="1" applyFill="1">
      <alignment vertical="center"/>
    </xf>
    <xf numFmtId="0" fontId="0" fillId="10" borderId="0" xfId="0" applyFill="1">
      <alignment vertical="center"/>
    </xf>
    <xf numFmtId="0" fontId="0" fillId="11" borderId="0" xfId="0" applyFill="1">
      <alignment vertical="center"/>
    </xf>
    <xf numFmtId="0" fontId="4" fillId="12" borderId="0" xfId="0" applyFont="1" applyFill="1">
      <alignment vertical="center"/>
    </xf>
    <xf numFmtId="0" fontId="8" fillId="7" borderId="0" xfId="0" applyFont="1" applyFill="1" applyAlignment="1">
      <alignment horizontal="left" vertical="center" indent="2"/>
    </xf>
    <xf numFmtId="0" fontId="7" fillId="7" borderId="0" xfId="0" applyFont="1" applyFill="1" applyAlignment="1">
      <alignment horizontal="left" vertical="center"/>
    </xf>
    <xf numFmtId="0" fontId="0" fillId="0" borderId="0" xfId="0" applyAlignment="1">
      <alignment vertical="center" wrapText="1"/>
    </xf>
    <xf numFmtId="0" fontId="0" fillId="7" borderId="0" xfId="0" applyFill="1" applyAlignment="1">
      <alignment vertical="center" wrapText="1"/>
    </xf>
    <xf numFmtId="0" fontId="0" fillId="0" borderId="0" xfId="0" applyAlignment="1">
      <alignment vertical="center"/>
    </xf>
    <xf numFmtId="14" fontId="0" fillId="0" borderId="0" xfId="0" applyNumberFormat="1" applyAlignment="1">
      <alignment vertical="center"/>
    </xf>
    <xf numFmtId="14" fontId="0" fillId="0" borderId="0" xfId="0" applyNumberFormat="1">
      <alignment vertical="center"/>
    </xf>
    <xf numFmtId="0" fontId="0" fillId="0" borderId="0" xfId="0" applyAlignment="1">
      <alignment horizontal="centerContinuous" vertical="center"/>
    </xf>
    <xf numFmtId="179" fontId="0" fillId="0" borderId="0" xfId="0" applyNumberFormat="1" applyAlignment="1">
      <alignment horizontal="centerContinuous" vertical="center"/>
    </xf>
    <xf numFmtId="179" fontId="0" fillId="0" borderId="0" xfId="0" quotePrefix="1" applyNumberFormat="1" applyAlignment="1">
      <alignment horizontal="centerContinuous" vertical="center"/>
    </xf>
    <xf numFmtId="0" fontId="4" fillId="6" borderId="0" xfId="0" applyFont="1" applyFill="1" applyAlignment="1">
      <alignment vertical="center"/>
    </xf>
    <xf numFmtId="0" fontId="4" fillId="6" borderId="0" xfId="0" applyFont="1" applyFill="1" applyAlignment="1">
      <alignment horizontal="centerContinuous" vertical="center"/>
    </xf>
    <xf numFmtId="0" fontId="0" fillId="7" borderId="0" xfId="0" applyFill="1" applyAlignment="1">
      <alignment vertical="center"/>
    </xf>
    <xf numFmtId="0" fontId="9" fillId="6" borderId="1" xfId="0" applyFont="1" applyFill="1" applyBorder="1">
      <alignment vertical="center"/>
    </xf>
    <xf numFmtId="0" fontId="9" fillId="6" borderId="2" xfId="0" applyFont="1" applyFill="1" applyBorder="1">
      <alignment vertical="center"/>
    </xf>
    <xf numFmtId="0" fontId="10" fillId="7" borderId="0" xfId="0" applyFont="1" applyFill="1" applyAlignment="1">
      <alignment horizontal="left" vertical="center" indent="1"/>
    </xf>
    <xf numFmtId="177" fontId="11" fillId="7" borderId="0" xfId="0" applyNumberFormat="1" applyFont="1" applyFill="1">
      <alignment vertical="center"/>
    </xf>
    <xf numFmtId="0" fontId="10" fillId="7" borderId="0" xfId="0" applyFont="1" applyFill="1" applyAlignment="1">
      <alignment horizontal="left" vertical="center" indent="3"/>
    </xf>
    <xf numFmtId="0" fontId="11" fillId="7" borderId="0" xfId="0" applyFont="1" applyFill="1">
      <alignment vertical="center"/>
    </xf>
    <xf numFmtId="0" fontId="4" fillId="6" borderId="0" xfId="0" applyFont="1" applyFill="1" applyAlignment="1">
      <alignment horizontal="center" vertical="center"/>
    </xf>
    <xf numFmtId="0" fontId="0" fillId="0" borderId="0" xfId="0" applyAlignment="1">
      <alignment horizontal="left" vertical="center" indent="1"/>
    </xf>
    <xf numFmtId="0" fontId="0" fillId="0" borderId="0" xfId="0" applyAlignment="1">
      <alignment horizontal="left" vertical="center" indent="2"/>
    </xf>
    <xf numFmtId="0" fontId="0" fillId="0" borderId="0" xfId="0" applyAlignment="1">
      <alignment horizontal="left" vertical="center"/>
    </xf>
    <xf numFmtId="176" fontId="0" fillId="0" borderId="0" xfId="0" applyNumberFormat="1">
      <alignment vertical="center"/>
    </xf>
    <xf numFmtId="178" fontId="0" fillId="0" borderId="0" xfId="0" applyNumberFormat="1" applyAlignment="1">
      <alignment vertical="center" wrapText="1"/>
    </xf>
  </cellXfs>
  <cellStyles count="3">
    <cellStyle name="60% - 강조색3" xfId="2" builtinId="40"/>
    <cellStyle name="좋음" xfId="1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분기별</a:t>
            </a:r>
            <a:r>
              <a:rPr lang="ko-KR" altLang="en-US" baseline="0"/>
              <a:t> 총매출액과 영업이익</a:t>
            </a:r>
            <a:endParaRPr lang="en-US" altLang="ko-KR" baseline="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'financial data'!$B$48</c:f>
              <c:strCache>
                <c:ptCount val="1"/>
                <c:pt idx="0">
                  <c:v>Net sales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'financial data'!$C$47:$AD$47</c:f>
              <c:strCache>
                <c:ptCount val="28"/>
                <c:pt idx="0">
                  <c:v>1Q17</c:v>
                </c:pt>
                <c:pt idx="1">
                  <c:v>2Q17</c:v>
                </c:pt>
                <c:pt idx="2">
                  <c:v>3Q17</c:v>
                </c:pt>
                <c:pt idx="3">
                  <c:v>4Q17</c:v>
                </c:pt>
                <c:pt idx="4">
                  <c:v>1Q18</c:v>
                </c:pt>
                <c:pt idx="5">
                  <c:v>2Q18</c:v>
                </c:pt>
                <c:pt idx="6">
                  <c:v>3Q18</c:v>
                </c:pt>
                <c:pt idx="7">
                  <c:v>4Q18</c:v>
                </c:pt>
                <c:pt idx="8">
                  <c:v>1Q19</c:v>
                </c:pt>
                <c:pt idx="9">
                  <c:v>2Q19</c:v>
                </c:pt>
                <c:pt idx="10">
                  <c:v>3Q19</c:v>
                </c:pt>
                <c:pt idx="11">
                  <c:v>4Q19</c:v>
                </c:pt>
                <c:pt idx="12">
                  <c:v>1Q20</c:v>
                </c:pt>
                <c:pt idx="13">
                  <c:v>2Q20</c:v>
                </c:pt>
                <c:pt idx="14">
                  <c:v>3Q20</c:v>
                </c:pt>
                <c:pt idx="15">
                  <c:v>4Q20</c:v>
                </c:pt>
                <c:pt idx="16">
                  <c:v>1Q21</c:v>
                </c:pt>
                <c:pt idx="17">
                  <c:v>2Q21</c:v>
                </c:pt>
                <c:pt idx="18">
                  <c:v>3Q21</c:v>
                </c:pt>
                <c:pt idx="19">
                  <c:v>4Q21</c:v>
                </c:pt>
                <c:pt idx="20">
                  <c:v>1Q22</c:v>
                </c:pt>
                <c:pt idx="21">
                  <c:v>2Q22</c:v>
                </c:pt>
                <c:pt idx="22">
                  <c:v>3Q22</c:v>
                </c:pt>
                <c:pt idx="23">
                  <c:v>4Q22</c:v>
                </c:pt>
                <c:pt idx="24">
                  <c:v>1Q23</c:v>
                </c:pt>
                <c:pt idx="25">
                  <c:v>2Q23</c:v>
                </c:pt>
                <c:pt idx="26">
                  <c:v>3Q23</c:v>
                </c:pt>
                <c:pt idx="27">
                  <c:v>4Q23</c:v>
                </c:pt>
              </c:strCache>
            </c:strRef>
          </c:cat>
          <c:val>
            <c:numRef>
              <c:f>'financial data'!$C$48:$AD$48</c:f>
              <c:numCache>
                <c:formatCode>0_);[Red]\(0\)</c:formatCode>
                <c:ptCount val="28"/>
                <c:pt idx="0">
                  <c:v>154.07</c:v>
                </c:pt>
                <c:pt idx="1">
                  <c:v>219.97</c:v>
                </c:pt>
                <c:pt idx="2">
                  <c:v>482.97</c:v>
                </c:pt>
                <c:pt idx="3">
                  <c:v>198.67</c:v>
                </c:pt>
                <c:pt idx="4">
                  <c:v>168.16</c:v>
                </c:pt>
                <c:pt idx="5">
                  <c:v>220.75</c:v>
                </c:pt>
                <c:pt idx="6">
                  <c:v>608.39</c:v>
                </c:pt>
                <c:pt idx="7">
                  <c:v>203.27</c:v>
                </c:pt>
                <c:pt idx="8">
                  <c:v>172.11</c:v>
                </c:pt>
                <c:pt idx="9">
                  <c:v>271.86</c:v>
                </c:pt>
                <c:pt idx="10">
                  <c:v>578.70000000000005</c:v>
                </c:pt>
                <c:pt idx="11">
                  <c:v>285.85000000000002</c:v>
                </c:pt>
                <c:pt idx="12">
                  <c:v>358.11</c:v>
                </c:pt>
                <c:pt idx="13">
                  <c:v>411.42</c:v>
                </c:pt>
                <c:pt idx="14">
                  <c:v>634.94000000000005</c:v>
                </c:pt>
                <c:pt idx="15">
                  <c:v>354.45</c:v>
                </c:pt>
                <c:pt idx="16">
                  <c:v>322.64999999999998</c:v>
                </c:pt>
                <c:pt idx="17">
                  <c:v>301.63</c:v>
                </c:pt>
                <c:pt idx="18">
                  <c:v>695.95</c:v>
                </c:pt>
                <c:pt idx="19">
                  <c:v>375.13</c:v>
                </c:pt>
                <c:pt idx="20">
                  <c:v>307.45999999999998</c:v>
                </c:pt>
                <c:pt idx="21">
                  <c:v>349.51</c:v>
                </c:pt>
                <c:pt idx="22">
                  <c:v>638.20000000000005</c:v>
                </c:pt>
                <c:pt idx="23">
                  <c:v>306.5</c:v>
                </c:pt>
                <c:pt idx="24">
                  <c:v>461.34</c:v>
                </c:pt>
                <c:pt idx="25">
                  <c:v>334.9</c:v>
                </c:pt>
                <c:pt idx="26">
                  <c:v>598.55999999999995</c:v>
                </c:pt>
                <c:pt idx="27">
                  <c:v>277.06999999999994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795-4E1A-B233-5A33215A7359}"/>
            </c:ext>
          </c:extLst>
        </c:ser>
        <c:ser>
          <c:idx val="1"/>
          <c:order val="1"/>
          <c:tx>
            <c:strRef>
              <c:f>'financial data'!$B$66</c:f>
              <c:strCache>
                <c:ptCount val="1"/>
                <c:pt idx="0">
                  <c:v>Operating profit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'financial data'!$C$47:$AD$47</c:f>
              <c:strCache>
                <c:ptCount val="28"/>
                <c:pt idx="0">
                  <c:v>1Q17</c:v>
                </c:pt>
                <c:pt idx="1">
                  <c:v>2Q17</c:v>
                </c:pt>
                <c:pt idx="2">
                  <c:v>3Q17</c:v>
                </c:pt>
                <c:pt idx="3">
                  <c:v>4Q17</c:v>
                </c:pt>
                <c:pt idx="4">
                  <c:v>1Q18</c:v>
                </c:pt>
                <c:pt idx="5">
                  <c:v>2Q18</c:v>
                </c:pt>
                <c:pt idx="6">
                  <c:v>3Q18</c:v>
                </c:pt>
                <c:pt idx="7">
                  <c:v>4Q18</c:v>
                </c:pt>
                <c:pt idx="8">
                  <c:v>1Q19</c:v>
                </c:pt>
                <c:pt idx="9">
                  <c:v>2Q19</c:v>
                </c:pt>
                <c:pt idx="10">
                  <c:v>3Q19</c:v>
                </c:pt>
                <c:pt idx="11">
                  <c:v>4Q19</c:v>
                </c:pt>
                <c:pt idx="12">
                  <c:v>1Q20</c:v>
                </c:pt>
                <c:pt idx="13">
                  <c:v>2Q20</c:v>
                </c:pt>
                <c:pt idx="14">
                  <c:v>3Q20</c:v>
                </c:pt>
                <c:pt idx="15">
                  <c:v>4Q20</c:v>
                </c:pt>
                <c:pt idx="16">
                  <c:v>1Q21</c:v>
                </c:pt>
                <c:pt idx="17">
                  <c:v>2Q21</c:v>
                </c:pt>
                <c:pt idx="18">
                  <c:v>3Q21</c:v>
                </c:pt>
                <c:pt idx="19">
                  <c:v>4Q21</c:v>
                </c:pt>
                <c:pt idx="20">
                  <c:v>1Q22</c:v>
                </c:pt>
                <c:pt idx="21">
                  <c:v>2Q22</c:v>
                </c:pt>
                <c:pt idx="22">
                  <c:v>3Q22</c:v>
                </c:pt>
                <c:pt idx="23">
                  <c:v>4Q22</c:v>
                </c:pt>
                <c:pt idx="24">
                  <c:v>1Q23</c:v>
                </c:pt>
                <c:pt idx="25">
                  <c:v>2Q23</c:v>
                </c:pt>
                <c:pt idx="26">
                  <c:v>3Q23</c:v>
                </c:pt>
                <c:pt idx="27">
                  <c:v>4Q23</c:v>
                </c:pt>
              </c:strCache>
            </c:strRef>
          </c:cat>
          <c:val>
            <c:numRef>
              <c:f>'financial data'!$C$66:$AD$66</c:f>
              <c:numCache>
                <c:formatCode>0_);[Red]\(0\)</c:formatCode>
                <c:ptCount val="28"/>
                <c:pt idx="0">
                  <c:v>16.21</c:v>
                </c:pt>
                <c:pt idx="1">
                  <c:v>23.75</c:v>
                </c:pt>
                <c:pt idx="2">
                  <c:v>116.5</c:v>
                </c:pt>
                <c:pt idx="3">
                  <c:v>21.1</c:v>
                </c:pt>
                <c:pt idx="4">
                  <c:v>30.54</c:v>
                </c:pt>
                <c:pt idx="5">
                  <c:v>30.87</c:v>
                </c:pt>
                <c:pt idx="6">
                  <c:v>158.63</c:v>
                </c:pt>
                <c:pt idx="7">
                  <c:v>29.67</c:v>
                </c:pt>
                <c:pt idx="8">
                  <c:v>27.43</c:v>
                </c:pt>
                <c:pt idx="9">
                  <c:v>66.790000000000006</c:v>
                </c:pt>
                <c:pt idx="10">
                  <c:v>168.71</c:v>
                </c:pt>
                <c:pt idx="11">
                  <c:v>89.44</c:v>
                </c:pt>
                <c:pt idx="12">
                  <c:v>144.74</c:v>
                </c:pt>
                <c:pt idx="13">
                  <c:v>146.69</c:v>
                </c:pt>
                <c:pt idx="14">
                  <c:v>229.68</c:v>
                </c:pt>
                <c:pt idx="15">
                  <c:v>119.53</c:v>
                </c:pt>
                <c:pt idx="16">
                  <c:v>119.75</c:v>
                </c:pt>
                <c:pt idx="17">
                  <c:v>100.21</c:v>
                </c:pt>
                <c:pt idx="18">
                  <c:v>252.59</c:v>
                </c:pt>
                <c:pt idx="19">
                  <c:v>120.21</c:v>
                </c:pt>
                <c:pt idx="20">
                  <c:v>101.65</c:v>
                </c:pt>
                <c:pt idx="21">
                  <c:v>118.74</c:v>
                </c:pt>
                <c:pt idx="22">
                  <c:v>190.15</c:v>
                </c:pt>
                <c:pt idx="23">
                  <c:v>93.83</c:v>
                </c:pt>
                <c:pt idx="24">
                  <c:v>185.44</c:v>
                </c:pt>
                <c:pt idx="25">
                  <c:v>94.47</c:v>
                </c:pt>
                <c:pt idx="26">
                  <c:v>184.5</c:v>
                </c:pt>
                <c:pt idx="27">
                  <c:v>64.53000000000003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795-4E1A-B233-5A33215A73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76720208"/>
        <c:axId val="41099072"/>
      </c:barChart>
      <c:catAx>
        <c:axId val="1976720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1099072"/>
        <c:crosses val="autoZero"/>
        <c:auto val="1"/>
        <c:lblAlgn val="ctr"/>
        <c:lblOffset val="100"/>
        <c:noMultiLvlLbl val="0"/>
      </c:catAx>
      <c:valAx>
        <c:axId val="41099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_);[Red]\(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76720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분기별 매출액 상세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'financial data'!$B$51</c:f>
              <c:strCache>
                <c:ptCount val="1"/>
                <c:pt idx="0">
                  <c:v>hardware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'financial data'!$C$47:$AD$47</c:f>
              <c:strCache>
                <c:ptCount val="28"/>
                <c:pt idx="0">
                  <c:v>1Q17</c:v>
                </c:pt>
                <c:pt idx="1">
                  <c:v>2Q17</c:v>
                </c:pt>
                <c:pt idx="2">
                  <c:v>3Q17</c:v>
                </c:pt>
                <c:pt idx="3">
                  <c:v>4Q17</c:v>
                </c:pt>
                <c:pt idx="4">
                  <c:v>1Q18</c:v>
                </c:pt>
                <c:pt idx="5">
                  <c:v>2Q18</c:v>
                </c:pt>
                <c:pt idx="6">
                  <c:v>3Q18</c:v>
                </c:pt>
                <c:pt idx="7">
                  <c:v>4Q18</c:v>
                </c:pt>
                <c:pt idx="8">
                  <c:v>1Q19</c:v>
                </c:pt>
                <c:pt idx="9">
                  <c:v>2Q19</c:v>
                </c:pt>
                <c:pt idx="10">
                  <c:v>3Q19</c:v>
                </c:pt>
                <c:pt idx="11">
                  <c:v>4Q19</c:v>
                </c:pt>
                <c:pt idx="12">
                  <c:v>1Q20</c:v>
                </c:pt>
                <c:pt idx="13">
                  <c:v>2Q20</c:v>
                </c:pt>
                <c:pt idx="14">
                  <c:v>3Q20</c:v>
                </c:pt>
                <c:pt idx="15">
                  <c:v>4Q20</c:v>
                </c:pt>
                <c:pt idx="16">
                  <c:v>1Q21</c:v>
                </c:pt>
                <c:pt idx="17">
                  <c:v>2Q21</c:v>
                </c:pt>
                <c:pt idx="18">
                  <c:v>3Q21</c:v>
                </c:pt>
                <c:pt idx="19">
                  <c:v>4Q21</c:v>
                </c:pt>
                <c:pt idx="20">
                  <c:v>1Q22</c:v>
                </c:pt>
                <c:pt idx="21">
                  <c:v>2Q22</c:v>
                </c:pt>
                <c:pt idx="22">
                  <c:v>3Q22</c:v>
                </c:pt>
                <c:pt idx="23">
                  <c:v>4Q22</c:v>
                </c:pt>
                <c:pt idx="24">
                  <c:v>1Q23</c:v>
                </c:pt>
                <c:pt idx="25">
                  <c:v>2Q23</c:v>
                </c:pt>
                <c:pt idx="26">
                  <c:v>3Q23</c:v>
                </c:pt>
                <c:pt idx="27">
                  <c:v>4Q23</c:v>
                </c:pt>
              </c:strCache>
            </c:strRef>
          </c:cat>
          <c:val>
            <c:numRef>
              <c:f>'financial data'!$C$51:$AD$51</c:f>
              <c:numCache>
                <c:formatCode>0_ </c:formatCode>
                <c:ptCount val="28"/>
                <c:pt idx="0">
                  <c:v>88.218199999999996</c:v>
                </c:pt>
                <c:pt idx="1">
                  <c:v>147.46199999999996</c:v>
                </c:pt>
                <c:pt idx="2">
                  <c:v>312.91664000000003</c:v>
                </c:pt>
                <c:pt idx="3">
                  <c:v>115.29917000000002</c:v>
                </c:pt>
                <c:pt idx="4">
                  <c:v>81.954840000000004</c:v>
                </c:pt>
                <c:pt idx="5">
                  <c:v>131.42063999999999</c:v>
                </c:pt>
                <c:pt idx="6">
                  <c:v>363.04452000000003</c:v>
                </c:pt>
                <c:pt idx="7">
                  <c:v>97.222859999999926</c:v>
                </c:pt>
                <c:pt idx="8">
                  <c:v>81.623149999999995</c:v>
                </c:pt>
                <c:pt idx="9">
                  <c:v>143.47017</c:v>
                </c:pt>
                <c:pt idx="10">
                  <c:v>321.76718</c:v>
                </c:pt>
                <c:pt idx="11">
                  <c:v>107.77969999999995</c:v>
                </c:pt>
                <c:pt idx="12">
                  <c:v>162.60399999999998</c:v>
                </c:pt>
                <c:pt idx="13">
                  <c:v>216.50690000000003</c:v>
                </c:pt>
                <c:pt idx="14">
                  <c:v>355.82909999999998</c:v>
                </c:pt>
                <c:pt idx="15">
                  <c:v>160.96000000000015</c:v>
                </c:pt>
                <c:pt idx="16">
                  <c:v>147.03639999999999</c:v>
                </c:pt>
                <c:pt idx="17">
                  <c:v>130.75460000000001</c:v>
                </c:pt>
                <c:pt idx="18">
                  <c:v>366.42180000000008</c:v>
                </c:pt>
                <c:pt idx="19">
                  <c:v>149.15999999999994</c:v>
                </c:pt>
                <c:pt idx="20">
                  <c:v>129.47280000000001</c:v>
                </c:pt>
                <c:pt idx="21">
                  <c:v>133.82099999999997</c:v>
                </c:pt>
                <c:pt idx="22">
                  <c:v>315.1764</c:v>
                </c:pt>
                <c:pt idx="23">
                  <c:v>126.00420000000008</c:v>
                </c:pt>
                <c:pt idx="24">
                  <c:v>174.80659999999997</c:v>
                </c:pt>
                <c:pt idx="25">
                  <c:v>127.97710000000004</c:v>
                </c:pt>
                <c:pt idx="26">
                  <c:v>287.12130000000002</c:v>
                </c:pt>
                <c:pt idx="27">
                  <c:v>93.655799999999914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838-4B78-A3D8-5868E6FD2866}"/>
            </c:ext>
          </c:extLst>
        </c:ser>
        <c:ser>
          <c:idx val="1"/>
          <c:order val="1"/>
          <c:tx>
            <c:strRef>
              <c:f>'financial data'!$B$53</c:f>
              <c:strCache>
                <c:ptCount val="1"/>
                <c:pt idx="0">
                  <c:v>software and others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'financial data'!$C$47:$AD$47</c:f>
              <c:strCache>
                <c:ptCount val="28"/>
                <c:pt idx="0">
                  <c:v>1Q17</c:v>
                </c:pt>
                <c:pt idx="1">
                  <c:v>2Q17</c:v>
                </c:pt>
                <c:pt idx="2">
                  <c:v>3Q17</c:v>
                </c:pt>
                <c:pt idx="3">
                  <c:v>4Q17</c:v>
                </c:pt>
                <c:pt idx="4">
                  <c:v>1Q18</c:v>
                </c:pt>
                <c:pt idx="5">
                  <c:v>2Q18</c:v>
                </c:pt>
                <c:pt idx="6">
                  <c:v>3Q18</c:v>
                </c:pt>
                <c:pt idx="7">
                  <c:v>4Q18</c:v>
                </c:pt>
                <c:pt idx="8">
                  <c:v>1Q19</c:v>
                </c:pt>
                <c:pt idx="9">
                  <c:v>2Q19</c:v>
                </c:pt>
                <c:pt idx="10">
                  <c:v>3Q19</c:v>
                </c:pt>
                <c:pt idx="11">
                  <c:v>4Q19</c:v>
                </c:pt>
                <c:pt idx="12">
                  <c:v>1Q20</c:v>
                </c:pt>
                <c:pt idx="13">
                  <c:v>2Q20</c:v>
                </c:pt>
                <c:pt idx="14">
                  <c:v>3Q20</c:v>
                </c:pt>
                <c:pt idx="15">
                  <c:v>4Q20</c:v>
                </c:pt>
                <c:pt idx="16">
                  <c:v>1Q21</c:v>
                </c:pt>
                <c:pt idx="17">
                  <c:v>2Q21</c:v>
                </c:pt>
                <c:pt idx="18">
                  <c:v>3Q21</c:v>
                </c:pt>
                <c:pt idx="19">
                  <c:v>4Q21</c:v>
                </c:pt>
                <c:pt idx="20">
                  <c:v>1Q22</c:v>
                </c:pt>
                <c:pt idx="21">
                  <c:v>2Q22</c:v>
                </c:pt>
                <c:pt idx="22">
                  <c:v>3Q22</c:v>
                </c:pt>
                <c:pt idx="23">
                  <c:v>4Q22</c:v>
                </c:pt>
                <c:pt idx="24">
                  <c:v>1Q23</c:v>
                </c:pt>
                <c:pt idx="25">
                  <c:v>2Q23</c:v>
                </c:pt>
                <c:pt idx="26">
                  <c:v>3Q23</c:v>
                </c:pt>
                <c:pt idx="27">
                  <c:v>4Q23</c:v>
                </c:pt>
              </c:strCache>
            </c:strRef>
          </c:cat>
          <c:val>
            <c:numRef>
              <c:f>'financial data'!$C$53:$AD$53</c:f>
              <c:numCache>
                <c:formatCode>0_ </c:formatCode>
                <c:ptCount val="28"/>
                <c:pt idx="0">
                  <c:v>56.401800000000009</c:v>
                </c:pt>
                <c:pt idx="1">
                  <c:v>63.198000000000008</c:v>
                </c:pt>
                <c:pt idx="2">
                  <c:v>158.34335999999996</c:v>
                </c:pt>
                <c:pt idx="3">
                  <c:v>72.790830000000014</c:v>
                </c:pt>
                <c:pt idx="4">
                  <c:v>76.565160000000006</c:v>
                </c:pt>
                <c:pt idx="5">
                  <c:v>79.189359999999994</c:v>
                </c:pt>
                <c:pt idx="6">
                  <c:v>230.16548</c:v>
                </c:pt>
                <c:pt idx="7">
                  <c:v>93.037139999999923</c:v>
                </c:pt>
                <c:pt idx="8">
                  <c:v>80.00685</c:v>
                </c:pt>
                <c:pt idx="9">
                  <c:v>117.85982999999999</c:v>
                </c:pt>
                <c:pt idx="10">
                  <c:v>238.80282000000005</c:v>
                </c:pt>
                <c:pt idx="11">
                  <c:v>162.85030000000012</c:v>
                </c:pt>
                <c:pt idx="12">
                  <c:v>181.89600000000002</c:v>
                </c:pt>
                <c:pt idx="13">
                  <c:v>180.89309999999995</c:v>
                </c:pt>
                <c:pt idx="14">
                  <c:v>263.27090000000004</c:v>
                </c:pt>
                <c:pt idx="15">
                  <c:v>178.03999999999996</c:v>
                </c:pt>
                <c:pt idx="16">
                  <c:v>161.86359999999999</c:v>
                </c:pt>
                <c:pt idx="17">
                  <c:v>157.74539999999999</c:v>
                </c:pt>
                <c:pt idx="18">
                  <c:v>314.37819999999999</c:v>
                </c:pt>
                <c:pt idx="19">
                  <c:v>211.84000000000006</c:v>
                </c:pt>
                <c:pt idx="20">
                  <c:v>166.12720000000002</c:v>
                </c:pt>
                <c:pt idx="21">
                  <c:v>211.97899999999998</c:v>
                </c:pt>
                <c:pt idx="22">
                  <c:v>285.52359999999993</c:v>
                </c:pt>
                <c:pt idx="23">
                  <c:v>176.7958000000001</c:v>
                </c:pt>
                <c:pt idx="24">
                  <c:v>252.5934</c:v>
                </c:pt>
                <c:pt idx="25">
                  <c:v>181.32290000000003</c:v>
                </c:pt>
                <c:pt idx="26">
                  <c:v>287.07870000000003</c:v>
                </c:pt>
                <c:pt idx="27">
                  <c:v>163.24419999999995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838-4B78-A3D8-5868E6FD2866}"/>
            </c:ext>
          </c:extLst>
        </c:ser>
        <c:ser>
          <c:idx val="2"/>
          <c:order val="2"/>
          <c:tx>
            <c:strRef>
              <c:f>'financial data'!$B$55</c:f>
              <c:strCache>
                <c:ptCount val="1"/>
                <c:pt idx="0">
                  <c:v>Mobile, IP related income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'financial data'!$C$47:$AD$47</c:f>
              <c:strCache>
                <c:ptCount val="28"/>
                <c:pt idx="0">
                  <c:v>1Q17</c:v>
                </c:pt>
                <c:pt idx="1">
                  <c:v>2Q17</c:v>
                </c:pt>
                <c:pt idx="2">
                  <c:v>3Q17</c:v>
                </c:pt>
                <c:pt idx="3">
                  <c:v>4Q17</c:v>
                </c:pt>
                <c:pt idx="4">
                  <c:v>1Q18</c:v>
                </c:pt>
                <c:pt idx="5">
                  <c:v>2Q18</c:v>
                </c:pt>
                <c:pt idx="6">
                  <c:v>3Q18</c:v>
                </c:pt>
                <c:pt idx="7">
                  <c:v>4Q18</c:v>
                </c:pt>
                <c:pt idx="8">
                  <c:v>1Q19</c:v>
                </c:pt>
                <c:pt idx="9">
                  <c:v>2Q19</c:v>
                </c:pt>
                <c:pt idx="10">
                  <c:v>3Q19</c:v>
                </c:pt>
                <c:pt idx="11">
                  <c:v>4Q19</c:v>
                </c:pt>
                <c:pt idx="12">
                  <c:v>1Q20</c:v>
                </c:pt>
                <c:pt idx="13">
                  <c:v>2Q20</c:v>
                </c:pt>
                <c:pt idx="14">
                  <c:v>3Q20</c:v>
                </c:pt>
                <c:pt idx="15">
                  <c:v>4Q20</c:v>
                </c:pt>
                <c:pt idx="16">
                  <c:v>1Q21</c:v>
                </c:pt>
                <c:pt idx="17">
                  <c:v>2Q21</c:v>
                </c:pt>
                <c:pt idx="18">
                  <c:v>3Q21</c:v>
                </c:pt>
                <c:pt idx="19">
                  <c:v>4Q21</c:v>
                </c:pt>
                <c:pt idx="20">
                  <c:v>1Q22</c:v>
                </c:pt>
                <c:pt idx="21">
                  <c:v>2Q22</c:v>
                </c:pt>
                <c:pt idx="22">
                  <c:v>3Q22</c:v>
                </c:pt>
                <c:pt idx="23">
                  <c:v>4Q22</c:v>
                </c:pt>
                <c:pt idx="24">
                  <c:v>1Q23</c:v>
                </c:pt>
                <c:pt idx="25">
                  <c:v>2Q23</c:v>
                </c:pt>
                <c:pt idx="26">
                  <c:v>3Q23</c:v>
                </c:pt>
                <c:pt idx="27">
                  <c:v>4Q23</c:v>
                </c:pt>
              </c:strCache>
            </c:strRef>
          </c:cat>
          <c:val>
            <c:numRef>
              <c:f>'financial data'!$C$55:$AD$55</c:f>
              <c:numCache>
                <c:formatCode>0_ </c:formatCode>
                <c:ptCount val="28"/>
                <c:pt idx="0">
                  <c:v>9.06</c:v>
                </c:pt>
                <c:pt idx="1">
                  <c:v>8.8699999999999992</c:v>
                </c:pt>
                <c:pt idx="2">
                  <c:v>15.450000000000005</c:v>
                </c:pt>
                <c:pt idx="3">
                  <c:v>5.9399999999999977</c:v>
                </c:pt>
                <c:pt idx="4">
                  <c:v>9.1</c:v>
                </c:pt>
                <c:pt idx="5">
                  <c:v>9.67</c:v>
                </c:pt>
                <c:pt idx="6">
                  <c:v>14.610000000000001</c:v>
                </c:pt>
                <c:pt idx="7">
                  <c:v>12.62</c:v>
                </c:pt>
                <c:pt idx="8">
                  <c:v>10</c:v>
                </c:pt>
                <c:pt idx="9">
                  <c:v>9.9600000000000009</c:v>
                </c:pt>
                <c:pt idx="10">
                  <c:v>16.949999999999996</c:v>
                </c:pt>
                <c:pt idx="11">
                  <c:v>14.39</c:v>
                </c:pt>
                <c:pt idx="12">
                  <c:v>13.2</c:v>
                </c:pt>
                <c:pt idx="13">
                  <c:v>13.5</c:v>
                </c:pt>
                <c:pt idx="14">
                  <c:v>15.3</c:v>
                </c:pt>
                <c:pt idx="15">
                  <c:v>15.000000000000004</c:v>
                </c:pt>
                <c:pt idx="16">
                  <c:v>13.1</c:v>
                </c:pt>
                <c:pt idx="17">
                  <c:v>12.4</c:v>
                </c:pt>
                <c:pt idx="18">
                  <c:v>14.299999999999999</c:v>
                </c:pt>
                <c:pt idx="19">
                  <c:v>13.500000000000002</c:v>
                </c:pt>
                <c:pt idx="20">
                  <c:v>10.9</c:v>
                </c:pt>
                <c:pt idx="21">
                  <c:v>12.6</c:v>
                </c:pt>
                <c:pt idx="22">
                  <c:v>15.399999999999997</c:v>
                </c:pt>
                <c:pt idx="23">
                  <c:v>12.1</c:v>
                </c:pt>
                <c:pt idx="24">
                  <c:v>31.8</c:v>
                </c:pt>
                <c:pt idx="25">
                  <c:v>23.2</c:v>
                </c:pt>
                <c:pt idx="26">
                  <c:v>20.2</c:v>
                </c:pt>
                <c:pt idx="27">
                  <c:v>17.499999999999996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838-4B78-A3D8-5868E6FD2866}"/>
            </c:ext>
          </c:extLst>
        </c:ser>
        <c:ser>
          <c:idx val="3"/>
          <c:order val="3"/>
          <c:tx>
            <c:strRef>
              <c:f>'financial data'!$B$56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'financial data'!$C$47:$AD$47</c:f>
              <c:strCache>
                <c:ptCount val="28"/>
                <c:pt idx="0">
                  <c:v>1Q17</c:v>
                </c:pt>
                <c:pt idx="1">
                  <c:v>2Q17</c:v>
                </c:pt>
                <c:pt idx="2">
                  <c:v>3Q17</c:v>
                </c:pt>
                <c:pt idx="3">
                  <c:v>4Q17</c:v>
                </c:pt>
                <c:pt idx="4">
                  <c:v>1Q18</c:v>
                </c:pt>
                <c:pt idx="5">
                  <c:v>2Q18</c:v>
                </c:pt>
                <c:pt idx="6">
                  <c:v>3Q18</c:v>
                </c:pt>
                <c:pt idx="7">
                  <c:v>4Q18</c:v>
                </c:pt>
                <c:pt idx="8">
                  <c:v>1Q19</c:v>
                </c:pt>
                <c:pt idx="9">
                  <c:v>2Q19</c:v>
                </c:pt>
                <c:pt idx="10">
                  <c:v>3Q19</c:v>
                </c:pt>
                <c:pt idx="11">
                  <c:v>4Q19</c:v>
                </c:pt>
                <c:pt idx="12">
                  <c:v>1Q20</c:v>
                </c:pt>
                <c:pt idx="13">
                  <c:v>2Q20</c:v>
                </c:pt>
                <c:pt idx="14">
                  <c:v>3Q20</c:v>
                </c:pt>
                <c:pt idx="15">
                  <c:v>4Q20</c:v>
                </c:pt>
                <c:pt idx="16">
                  <c:v>1Q21</c:v>
                </c:pt>
                <c:pt idx="17">
                  <c:v>2Q21</c:v>
                </c:pt>
                <c:pt idx="18">
                  <c:v>3Q21</c:v>
                </c:pt>
                <c:pt idx="19">
                  <c:v>4Q21</c:v>
                </c:pt>
                <c:pt idx="20">
                  <c:v>1Q22</c:v>
                </c:pt>
                <c:pt idx="21">
                  <c:v>2Q22</c:v>
                </c:pt>
                <c:pt idx="22">
                  <c:v>3Q22</c:v>
                </c:pt>
                <c:pt idx="23">
                  <c:v>4Q22</c:v>
                </c:pt>
                <c:pt idx="24">
                  <c:v>1Q23</c:v>
                </c:pt>
                <c:pt idx="25">
                  <c:v>2Q23</c:v>
                </c:pt>
                <c:pt idx="26">
                  <c:v>3Q23</c:v>
                </c:pt>
                <c:pt idx="27">
                  <c:v>4Q23</c:v>
                </c:pt>
              </c:strCache>
            </c:strRef>
          </c:cat>
          <c:val>
            <c:numRef>
              <c:f>'financial data'!$C$56:$AD$56</c:f>
              <c:numCache>
                <c:formatCode>0_ </c:formatCode>
                <c:ptCount val="28"/>
                <c:pt idx="0">
                  <c:v>0.39</c:v>
                </c:pt>
                <c:pt idx="1">
                  <c:v>0.44999999999999996</c:v>
                </c:pt>
                <c:pt idx="2">
                  <c:v>0.73000000000000009</c:v>
                </c:pt>
                <c:pt idx="3">
                  <c:v>0.15999999999999992</c:v>
                </c:pt>
                <c:pt idx="4">
                  <c:v>0.54</c:v>
                </c:pt>
                <c:pt idx="5">
                  <c:v>0.45999999999999996</c:v>
                </c:pt>
                <c:pt idx="6">
                  <c:v>0.57000000000000006</c:v>
                </c:pt>
                <c:pt idx="7">
                  <c:v>0.37999999999999989</c:v>
                </c:pt>
                <c:pt idx="8">
                  <c:v>0.47499999999999998</c:v>
                </c:pt>
                <c:pt idx="9">
                  <c:v>0.52500000000000002</c:v>
                </c:pt>
                <c:pt idx="10">
                  <c:v>1.23</c:v>
                </c:pt>
                <c:pt idx="11">
                  <c:v>0.83000000000000018</c:v>
                </c:pt>
                <c:pt idx="12">
                  <c:v>0.2</c:v>
                </c:pt>
                <c:pt idx="13">
                  <c:v>0.60000000000000009</c:v>
                </c:pt>
                <c:pt idx="14">
                  <c:v>0.49999999999999994</c:v>
                </c:pt>
                <c:pt idx="15">
                  <c:v>0.39999999999999986</c:v>
                </c:pt>
                <c:pt idx="16">
                  <c:v>0.5</c:v>
                </c:pt>
                <c:pt idx="17">
                  <c:v>0.8</c:v>
                </c:pt>
                <c:pt idx="18">
                  <c:v>0.8</c:v>
                </c:pt>
                <c:pt idx="19">
                  <c:v>0.60000000000000009</c:v>
                </c:pt>
                <c:pt idx="20">
                  <c:v>0.8</c:v>
                </c:pt>
                <c:pt idx="21">
                  <c:v>1.0999999999999999</c:v>
                </c:pt>
                <c:pt idx="22">
                  <c:v>2.2000000000000002</c:v>
                </c:pt>
                <c:pt idx="23">
                  <c:v>1.4999999999999998</c:v>
                </c:pt>
                <c:pt idx="24">
                  <c:v>1.9</c:v>
                </c:pt>
                <c:pt idx="25">
                  <c:v>2.5000000000000004</c:v>
                </c:pt>
                <c:pt idx="26">
                  <c:v>4.0999999999999996</c:v>
                </c:pt>
                <c:pt idx="27">
                  <c:v>2.6999999999999997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838-4B78-A3D8-5868E6FD28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50128544"/>
        <c:axId val="41106560"/>
      </c:barChart>
      <c:catAx>
        <c:axId val="50128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1106560"/>
        <c:crosses val="autoZero"/>
        <c:auto val="1"/>
        <c:lblAlgn val="ctr"/>
        <c:lblOffset val="100"/>
        <c:noMultiLvlLbl val="0"/>
      </c:catAx>
      <c:valAx>
        <c:axId val="41106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0128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소프트웨어 매출과 </a:t>
            </a:r>
            <a:r>
              <a:rPr lang="en-US" altLang="ko-KR"/>
              <a:t>opm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'financial data'!$B$53</c:f>
              <c:strCache>
                <c:ptCount val="1"/>
                <c:pt idx="0">
                  <c:v>software and others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'financial data'!$C$47:$AD$47</c:f>
              <c:strCache>
                <c:ptCount val="28"/>
                <c:pt idx="0">
                  <c:v>1Q17</c:v>
                </c:pt>
                <c:pt idx="1">
                  <c:v>2Q17</c:v>
                </c:pt>
                <c:pt idx="2">
                  <c:v>3Q17</c:v>
                </c:pt>
                <c:pt idx="3">
                  <c:v>4Q17</c:v>
                </c:pt>
                <c:pt idx="4">
                  <c:v>1Q18</c:v>
                </c:pt>
                <c:pt idx="5">
                  <c:v>2Q18</c:v>
                </c:pt>
                <c:pt idx="6">
                  <c:v>3Q18</c:v>
                </c:pt>
                <c:pt idx="7">
                  <c:v>4Q18</c:v>
                </c:pt>
                <c:pt idx="8">
                  <c:v>1Q19</c:v>
                </c:pt>
                <c:pt idx="9">
                  <c:v>2Q19</c:v>
                </c:pt>
                <c:pt idx="10">
                  <c:v>3Q19</c:v>
                </c:pt>
                <c:pt idx="11">
                  <c:v>4Q19</c:v>
                </c:pt>
                <c:pt idx="12">
                  <c:v>1Q20</c:v>
                </c:pt>
                <c:pt idx="13">
                  <c:v>2Q20</c:v>
                </c:pt>
                <c:pt idx="14">
                  <c:v>3Q20</c:v>
                </c:pt>
                <c:pt idx="15">
                  <c:v>4Q20</c:v>
                </c:pt>
                <c:pt idx="16">
                  <c:v>1Q21</c:v>
                </c:pt>
                <c:pt idx="17">
                  <c:v>2Q21</c:v>
                </c:pt>
                <c:pt idx="18">
                  <c:v>3Q21</c:v>
                </c:pt>
                <c:pt idx="19">
                  <c:v>4Q21</c:v>
                </c:pt>
                <c:pt idx="20">
                  <c:v>1Q22</c:v>
                </c:pt>
                <c:pt idx="21">
                  <c:v>2Q22</c:v>
                </c:pt>
                <c:pt idx="22">
                  <c:v>3Q22</c:v>
                </c:pt>
                <c:pt idx="23">
                  <c:v>4Q22</c:v>
                </c:pt>
                <c:pt idx="24">
                  <c:v>1Q23</c:v>
                </c:pt>
                <c:pt idx="25">
                  <c:v>2Q23</c:v>
                </c:pt>
                <c:pt idx="26">
                  <c:v>3Q23</c:v>
                </c:pt>
                <c:pt idx="27">
                  <c:v>4Q23</c:v>
                </c:pt>
              </c:strCache>
            </c:strRef>
          </c:cat>
          <c:val>
            <c:numRef>
              <c:f>'financial data'!$C$53:$AD$53</c:f>
              <c:numCache>
                <c:formatCode>0_ </c:formatCode>
                <c:ptCount val="28"/>
                <c:pt idx="0">
                  <c:v>56.401800000000009</c:v>
                </c:pt>
                <c:pt idx="1">
                  <c:v>63.198000000000008</c:v>
                </c:pt>
                <c:pt idx="2">
                  <c:v>158.34335999999996</c:v>
                </c:pt>
                <c:pt idx="3">
                  <c:v>72.790830000000014</c:v>
                </c:pt>
                <c:pt idx="4">
                  <c:v>76.565160000000006</c:v>
                </c:pt>
                <c:pt idx="5">
                  <c:v>79.189359999999994</c:v>
                </c:pt>
                <c:pt idx="6">
                  <c:v>230.16548</c:v>
                </c:pt>
                <c:pt idx="7">
                  <c:v>93.037139999999923</c:v>
                </c:pt>
                <c:pt idx="8">
                  <c:v>80.00685</c:v>
                </c:pt>
                <c:pt idx="9">
                  <c:v>117.85982999999999</c:v>
                </c:pt>
                <c:pt idx="10">
                  <c:v>238.80282000000005</c:v>
                </c:pt>
                <c:pt idx="11">
                  <c:v>162.85030000000012</c:v>
                </c:pt>
                <c:pt idx="12">
                  <c:v>181.89600000000002</c:v>
                </c:pt>
                <c:pt idx="13">
                  <c:v>180.89309999999995</c:v>
                </c:pt>
                <c:pt idx="14">
                  <c:v>263.27090000000004</c:v>
                </c:pt>
                <c:pt idx="15">
                  <c:v>178.03999999999996</c:v>
                </c:pt>
                <c:pt idx="16">
                  <c:v>161.86359999999999</c:v>
                </c:pt>
                <c:pt idx="17">
                  <c:v>157.74539999999999</c:v>
                </c:pt>
                <c:pt idx="18">
                  <c:v>314.37819999999999</c:v>
                </c:pt>
                <c:pt idx="19">
                  <c:v>211.84000000000006</c:v>
                </c:pt>
                <c:pt idx="20">
                  <c:v>166.12720000000002</c:v>
                </c:pt>
                <c:pt idx="21">
                  <c:v>211.97899999999998</c:v>
                </c:pt>
                <c:pt idx="22">
                  <c:v>285.52359999999993</c:v>
                </c:pt>
                <c:pt idx="23">
                  <c:v>176.7958000000001</c:v>
                </c:pt>
                <c:pt idx="24">
                  <c:v>252.5934</c:v>
                </c:pt>
                <c:pt idx="25">
                  <c:v>181.32290000000003</c:v>
                </c:pt>
                <c:pt idx="26">
                  <c:v>287.07870000000003</c:v>
                </c:pt>
                <c:pt idx="27">
                  <c:v>163.24419999999995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71E-4FAE-AB15-7D3F06EC56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05809455"/>
        <c:axId val="1744927759"/>
      </c:barChart>
      <c:lineChart>
        <c:grouping val="standard"/>
        <c:varyColors val="0"/>
        <c:ser>
          <c:idx val="1"/>
          <c:order val="1"/>
          <c:tx>
            <c:strRef>
              <c:f>'financial data'!$B$67</c:f>
              <c:strCache>
                <c:ptCount val="1"/>
                <c:pt idx="0">
                  <c:v>opm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'financial data'!$C$47:$AD$47</c:f>
              <c:strCache>
                <c:ptCount val="28"/>
                <c:pt idx="0">
                  <c:v>1Q17</c:v>
                </c:pt>
                <c:pt idx="1">
                  <c:v>2Q17</c:v>
                </c:pt>
                <c:pt idx="2">
                  <c:v>3Q17</c:v>
                </c:pt>
                <c:pt idx="3">
                  <c:v>4Q17</c:v>
                </c:pt>
                <c:pt idx="4">
                  <c:v>1Q18</c:v>
                </c:pt>
                <c:pt idx="5">
                  <c:v>2Q18</c:v>
                </c:pt>
                <c:pt idx="6">
                  <c:v>3Q18</c:v>
                </c:pt>
                <c:pt idx="7">
                  <c:v>4Q18</c:v>
                </c:pt>
                <c:pt idx="8">
                  <c:v>1Q19</c:v>
                </c:pt>
                <c:pt idx="9">
                  <c:v>2Q19</c:v>
                </c:pt>
                <c:pt idx="10">
                  <c:v>3Q19</c:v>
                </c:pt>
                <c:pt idx="11">
                  <c:v>4Q19</c:v>
                </c:pt>
                <c:pt idx="12">
                  <c:v>1Q20</c:v>
                </c:pt>
                <c:pt idx="13">
                  <c:v>2Q20</c:v>
                </c:pt>
                <c:pt idx="14">
                  <c:v>3Q20</c:v>
                </c:pt>
                <c:pt idx="15">
                  <c:v>4Q20</c:v>
                </c:pt>
                <c:pt idx="16">
                  <c:v>1Q21</c:v>
                </c:pt>
                <c:pt idx="17">
                  <c:v>2Q21</c:v>
                </c:pt>
                <c:pt idx="18">
                  <c:v>3Q21</c:v>
                </c:pt>
                <c:pt idx="19">
                  <c:v>4Q21</c:v>
                </c:pt>
                <c:pt idx="20">
                  <c:v>1Q22</c:v>
                </c:pt>
                <c:pt idx="21">
                  <c:v>2Q22</c:v>
                </c:pt>
                <c:pt idx="22">
                  <c:v>3Q22</c:v>
                </c:pt>
                <c:pt idx="23">
                  <c:v>4Q22</c:v>
                </c:pt>
                <c:pt idx="24">
                  <c:v>1Q23</c:v>
                </c:pt>
                <c:pt idx="25">
                  <c:v>2Q23</c:v>
                </c:pt>
                <c:pt idx="26">
                  <c:v>3Q23</c:v>
                </c:pt>
                <c:pt idx="27">
                  <c:v>4Q23</c:v>
                </c:pt>
              </c:strCache>
            </c:strRef>
          </c:cat>
          <c:val>
            <c:numRef>
              <c:f>'financial data'!$C$67:$AD$67</c:f>
              <c:numCache>
                <c:formatCode>0.0%</c:formatCode>
                <c:ptCount val="28"/>
                <c:pt idx="0">
                  <c:v>0.10521191666125788</c:v>
                </c:pt>
                <c:pt idx="1">
                  <c:v>0.10796926853661863</c:v>
                </c:pt>
                <c:pt idx="2">
                  <c:v>0.24121581050582849</c:v>
                </c:pt>
                <c:pt idx="3">
                  <c:v>0.10620627170685057</c:v>
                </c:pt>
                <c:pt idx="4">
                  <c:v>0.18161274976213129</c:v>
                </c:pt>
                <c:pt idx="5">
                  <c:v>0.13984144960362402</c:v>
                </c:pt>
                <c:pt idx="6">
                  <c:v>0.26073735597232039</c:v>
                </c:pt>
                <c:pt idx="7">
                  <c:v>0.14596349682688051</c:v>
                </c:pt>
                <c:pt idx="8">
                  <c:v>0.15937481843007378</c:v>
                </c:pt>
                <c:pt idx="9">
                  <c:v>0.24567792246008976</c:v>
                </c:pt>
                <c:pt idx="10">
                  <c:v>0.29153274580957317</c:v>
                </c:pt>
                <c:pt idx="11">
                  <c:v>0.31289137659611682</c:v>
                </c:pt>
                <c:pt idx="12">
                  <c:v>0.40417748736421771</c:v>
                </c:pt>
                <c:pt idx="13">
                  <c:v>0.35654562247824606</c:v>
                </c:pt>
                <c:pt idx="14">
                  <c:v>0.36173496708350394</c:v>
                </c:pt>
                <c:pt idx="15">
                  <c:v>0.33722668923684584</c:v>
                </c:pt>
                <c:pt idx="16">
                  <c:v>0.37114520378118709</c:v>
                </c:pt>
                <c:pt idx="17">
                  <c:v>0.33222822663528162</c:v>
                </c:pt>
                <c:pt idx="18">
                  <c:v>0.36294274013937783</c:v>
                </c:pt>
                <c:pt idx="19">
                  <c:v>0.32044891104417134</c:v>
                </c:pt>
                <c:pt idx="20">
                  <c:v>0.33061211214466929</c:v>
                </c:pt>
                <c:pt idx="21">
                  <c:v>0.33973276873336955</c:v>
                </c:pt>
                <c:pt idx="22">
                  <c:v>0.29794735192729549</c:v>
                </c:pt>
                <c:pt idx="23">
                  <c:v>0.30613376835236539</c:v>
                </c:pt>
                <c:pt idx="24">
                  <c:v>0.40195950925564661</c:v>
                </c:pt>
                <c:pt idx="25">
                  <c:v>0.28208420424007169</c:v>
                </c:pt>
                <c:pt idx="26">
                  <c:v>0.3082397754611067</c:v>
                </c:pt>
                <c:pt idx="27">
                  <c:v>0.23290143285090426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71E-4FAE-AB15-7D3F06EC56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92827663"/>
        <c:axId val="1898444239"/>
      </c:lineChart>
      <c:catAx>
        <c:axId val="19058094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744927759"/>
        <c:crosses val="autoZero"/>
        <c:auto val="1"/>
        <c:lblAlgn val="ctr"/>
        <c:lblOffset val="100"/>
        <c:noMultiLvlLbl val="0"/>
      </c:catAx>
      <c:valAx>
        <c:axId val="17449277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05809455"/>
        <c:crosses val="autoZero"/>
        <c:crossBetween val="between"/>
      </c:valAx>
      <c:valAx>
        <c:axId val="1898444239"/>
        <c:scaling>
          <c:orientation val="minMax"/>
        </c:scaling>
        <c:delete val="0"/>
        <c:axPos val="r"/>
        <c:numFmt formatCode="0.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892827663"/>
        <c:crosses val="max"/>
        <c:crossBetween val="between"/>
      </c:valAx>
      <c:catAx>
        <c:axId val="189282766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89844423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소프트웨어 비중과 </a:t>
            </a:r>
            <a:r>
              <a:rPr lang="en-US" altLang="ko-KR"/>
              <a:t>opm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'financial data'!$B$60</c:f>
              <c:strCache>
                <c:ptCount val="1"/>
                <c:pt idx="0">
                  <c:v>software and others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'financial data'!$C$47:$AD$47</c:f>
              <c:strCache>
                <c:ptCount val="28"/>
                <c:pt idx="0">
                  <c:v>1Q17</c:v>
                </c:pt>
                <c:pt idx="1">
                  <c:v>2Q17</c:v>
                </c:pt>
                <c:pt idx="2">
                  <c:v>3Q17</c:v>
                </c:pt>
                <c:pt idx="3">
                  <c:v>4Q17</c:v>
                </c:pt>
                <c:pt idx="4">
                  <c:v>1Q18</c:v>
                </c:pt>
                <c:pt idx="5">
                  <c:v>2Q18</c:v>
                </c:pt>
                <c:pt idx="6">
                  <c:v>3Q18</c:v>
                </c:pt>
                <c:pt idx="7">
                  <c:v>4Q18</c:v>
                </c:pt>
                <c:pt idx="8">
                  <c:v>1Q19</c:v>
                </c:pt>
                <c:pt idx="9">
                  <c:v>2Q19</c:v>
                </c:pt>
                <c:pt idx="10">
                  <c:v>3Q19</c:v>
                </c:pt>
                <c:pt idx="11">
                  <c:v>4Q19</c:v>
                </c:pt>
                <c:pt idx="12">
                  <c:v>1Q20</c:v>
                </c:pt>
                <c:pt idx="13">
                  <c:v>2Q20</c:v>
                </c:pt>
                <c:pt idx="14">
                  <c:v>3Q20</c:v>
                </c:pt>
                <c:pt idx="15">
                  <c:v>4Q20</c:v>
                </c:pt>
                <c:pt idx="16">
                  <c:v>1Q21</c:v>
                </c:pt>
                <c:pt idx="17">
                  <c:v>2Q21</c:v>
                </c:pt>
                <c:pt idx="18">
                  <c:v>3Q21</c:v>
                </c:pt>
                <c:pt idx="19">
                  <c:v>4Q21</c:v>
                </c:pt>
                <c:pt idx="20">
                  <c:v>1Q22</c:v>
                </c:pt>
                <c:pt idx="21">
                  <c:v>2Q22</c:v>
                </c:pt>
                <c:pt idx="22">
                  <c:v>3Q22</c:v>
                </c:pt>
                <c:pt idx="23">
                  <c:v>4Q22</c:v>
                </c:pt>
                <c:pt idx="24">
                  <c:v>1Q23</c:v>
                </c:pt>
                <c:pt idx="25">
                  <c:v>2Q23</c:v>
                </c:pt>
                <c:pt idx="26">
                  <c:v>3Q23</c:v>
                </c:pt>
                <c:pt idx="27">
                  <c:v>4Q23</c:v>
                </c:pt>
              </c:strCache>
            </c:strRef>
          </c:cat>
          <c:val>
            <c:numRef>
              <c:f>'financial data'!$C$60:$AD$60</c:f>
              <c:numCache>
                <c:formatCode>0.0%</c:formatCode>
                <c:ptCount val="28"/>
                <c:pt idx="0">
                  <c:v>0.36607905497501142</c:v>
                </c:pt>
                <c:pt idx="1">
                  <c:v>0.28730281402009367</c:v>
                </c:pt>
                <c:pt idx="2">
                  <c:v>0.32785340704391569</c:v>
                </c:pt>
                <c:pt idx="3">
                  <c:v>0.3663906478079228</c:v>
                </c:pt>
                <c:pt idx="4">
                  <c:v>0.45531137012369177</c:v>
                </c:pt>
                <c:pt idx="5">
                  <c:v>0.35872869762174403</c:v>
                </c:pt>
                <c:pt idx="6">
                  <c:v>0.3783189730271701</c:v>
                </c:pt>
                <c:pt idx="7">
                  <c:v>0.45770226791951552</c:v>
                </c:pt>
                <c:pt idx="8">
                  <c:v>0.46485881122537909</c:v>
                </c:pt>
                <c:pt idx="9">
                  <c:v>0.43353133966011909</c:v>
                </c:pt>
                <c:pt idx="10">
                  <c:v>0.4126539139450493</c:v>
                </c:pt>
                <c:pt idx="11">
                  <c:v>0.56970543991604028</c:v>
                </c:pt>
                <c:pt idx="12">
                  <c:v>0.50793331657870489</c:v>
                </c:pt>
                <c:pt idx="13">
                  <c:v>0.43967988916435746</c:v>
                </c:pt>
                <c:pt idx="14">
                  <c:v>0.41463902100985922</c:v>
                </c:pt>
                <c:pt idx="15">
                  <c:v>0.50229933700098739</c:v>
                </c:pt>
                <c:pt idx="16">
                  <c:v>0.50166930110026342</c:v>
                </c:pt>
                <c:pt idx="17">
                  <c:v>0.5229764943805324</c:v>
                </c:pt>
                <c:pt idx="18">
                  <c:v>0.45172526761980025</c:v>
                </c:pt>
                <c:pt idx="19">
                  <c:v>0.56471090022125681</c:v>
                </c:pt>
                <c:pt idx="20">
                  <c:v>0.54032134261367337</c:v>
                </c:pt>
                <c:pt idx="21">
                  <c:v>0.60650339046093094</c:v>
                </c:pt>
                <c:pt idx="22">
                  <c:v>0.44738890629896572</c:v>
                </c:pt>
                <c:pt idx="23">
                  <c:v>0.57682153344208842</c:v>
                </c:pt>
                <c:pt idx="24">
                  <c:v>0.54752113408765768</c:v>
                </c:pt>
                <c:pt idx="25">
                  <c:v>0.54142400716631844</c:v>
                </c:pt>
                <c:pt idx="26">
                  <c:v>0.47961557738572586</c:v>
                </c:pt>
                <c:pt idx="27">
                  <c:v>0.58918035153571291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350-4454-B269-20A8A721CAB7}"/>
            </c:ext>
          </c:extLst>
        </c:ser>
        <c:ser>
          <c:idx val="1"/>
          <c:order val="1"/>
          <c:tx>
            <c:strRef>
              <c:f>'financial data'!$B$67</c:f>
              <c:strCache>
                <c:ptCount val="1"/>
                <c:pt idx="0">
                  <c:v>opm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'financial data'!$C$47:$AD$47</c:f>
              <c:strCache>
                <c:ptCount val="28"/>
                <c:pt idx="0">
                  <c:v>1Q17</c:v>
                </c:pt>
                <c:pt idx="1">
                  <c:v>2Q17</c:v>
                </c:pt>
                <c:pt idx="2">
                  <c:v>3Q17</c:v>
                </c:pt>
                <c:pt idx="3">
                  <c:v>4Q17</c:v>
                </c:pt>
                <c:pt idx="4">
                  <c:v>1Q18</c:v>
                </c:pt>
                <c:pt idx="5">
                  <c:v>2Q18</c:v>
                </c:pt>
                <c:pt idx="6">
                  <c:v>3Q18</c:v>
                </c:pt>
                <c:pt idx="7">
                  <c:v>4Q18</c:v>
                </c:pt>
                <c:pt idx="8">
                  <c:v>1Q19</c:v>
                </c:pt>
                <c:pt idx="9">
                  <c:v>2Q19</c:v>
                </c:pt>
                <c:pt idx="10">
                  <c:v>3Q19</c:v>
                </c:pt>
                <c:pt idx="11">
                  <c:v>4Q19</c:v>
                </c:pt>
                <c:pt idx="12">
                  <c:v>1Q20</c:v>
                </c:pt>
                <c:pt idx="13">
                  <c:v>2Q20</c:v>
                </c:pt>
                <c:pt idx="14">
                  <c:v>3Q20</c:v>
                </c:pt>
                <c:pt idx="15">
                  <c:v>4Q20</c:v>
                </c:pt>
                <c:pt idx="16">
                  <c:v>1Q21</c:v>
                </c:pt>
                <c:pt idx="17">
                  <c:v>2Q21</c:v>
                </c:pt>
                <c:pt idx="18">
                  <c:v>3Q21</c:v>
                </c:pt>
                <c:pt idx="19">
                  <c:v>4Q21</c:v>
                </c:pt>
                <c:pt idx="20">
                  <c:v>1Q22</c:v>
                </c:pt>
                <c:pt idx="21">
                  <c:v>2Q22</c:v>
                </c:pt>
                <c:pt idx="22">
                  <c:v>3Q22</c:v>
                </c:pt>
                <c:pt idx="23">
                  <c:v>4Q22</c:v>
                </c:pt>
                <c:pt idx="24">
                  <c:v>1Q23</c:v>
                </c:pt>
                <c:pt idx="25">
                  <c:v>2Q23</c:v>
                </c:pt>
                <c:pt idx="26">
                  <c:v>3Q23</c:v>
                </c:pt>
                <c:pt idx="27">
                  <c:v>4Q23</c:v>
                </c:pt>
              </c:strCache>
            </c:strRef>
          </c:cat>
          <c:val>
            <c:numRef>
              <c:f>'financial data'!$C$67:$AD$67</c:f>
              <c:numCache>
                <c:formatCode>0.0%</c:formatCode>
                <c:ptCount val="28"/>
                <c:pt idx="0">
                  <c:v>0.10521191666125788</c:v>
                </c:pt>
                <c:pt idx="1">
                  <c:v>0.10796926853661863</c:v>
                </c:pt>
                <c:pt idx="2">
                  <c:v>0.24121581050582849</c:v>
                </c:pt>
                <c:pt idx="3">
                  <c:v>0.10620627170685057</c:v>
                </c:pt>
                <c:pt idx="4">
                  <c:v>0.18161274976213129</c:v>
                </c:pt>
                <c:pt idx="5">
                  <c:v>0.13984144960362402</c:v>
                </c:pt>
                <c:pt idx="6">
                  <c:v>0.26073735597232039</c:v>
                </c:pt>
                <c:pt idx="7">
                  <c:v>0.14596349682688051</c:v>
                </c:pt>
                <c:pt idx="8">
                  <c:v>0.15937481843007378</c:v>
                </c:pt>
                <c:pt idx="9">
                  <c:v>0.24567792246008976</c:v>
                </c:pt>
                <c:pt idx="10">
                  <c:v>0.29153274580957317</c:v>
                </c:pt>
                <c:pt idx="11">
                  <c:v>0.31289137659611682</c:v>
                </c:pt>
                <c:pt idx="12">
                  <c:v>0.40417748736421771</c:v>
                </c:pt>
                <c:pt idx="13">
                  <c:v>0.35654562247824606</c:v>
                </c:pt>
                <c:pt idx="14">
                  <c:v>0.36173496708350394</c:v>
                </c:pt>
                <c:pt idx="15">
                  <c:v>0.33722668923684584</c:v>
                </c:pt>
                <c:pt idx="16">
                  <c:v>0.37114520378118709</c:v>
                </c:pt>
                <c:pt idx="17">
                  <c:v>0.33222822663528162</c:v>
                </c:pt>
                <c:pt idx="18">
                  <c:v>0.36294274013937783</c:v>
                </c:pt>
                <c:pt idx="19">
                  <c:v>0.32044891104417134</c:v>
                </c:pt>
                <c:pt idx="20">
                  <c:v>0.33061211214466929</c:v>
                </c:pt>
                <c:pt idx="21">
                  <c:v>0.33973276873336955</c:v>
                </c:pt>
                <c:pt idx="22">
                  <c:v>0.29794735192729549</c:v>
                </c:pt>
                <c:pt idx="23">
                  <c:v>0.30613376835236539</c:v>
                </c:pt>
                <c:pt idx="24">
                  <c:v>0.40195950925564661</c:v>
                </c:pt>
                <c:pt idx="25">
                  <c:v>0.28208420424007169</c:v>
                </c:pt>
                <c:pt idx="26">
                  <c:v>0.3082397754611067</c:v>
                </c:pt>
                <c:pt idx="27">
                  <c:v>0.23290143285090426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350-4454-B269-20A8A721CA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96024975"/>
        <c:axId val="1898461711"/>
      </c:lineChart>
      <c:catAx>
        <c:axId val="18960249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898461711"/>
        <c:crosses val="autoZero"/>
        <c:auto val="1"/>
        <c:lblAlgn val="ctr"/>
        <c:lblOffset val="100"/>
        <c:noMultiLvlLbl val="0"/>
      </c:catAx>
      <c:valAx>
        <c:axId val="18984617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8960249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연도별 매출액 상세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1"/>
          <c:order val="0"/>
          <c:tx>
            <c:strRef>
              <c:f>'financial data'!$B$28</c:f>
              <c:strCache>
                <c:ptCount val="1"/>
                <c:pt idx="0">
                  <c:v>hardware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'financial data'!$Q$25:$W$25</c:f>
              <c:numCache>
                <c:formatCode>General</c:formatCode>
                <c:ptCount val="7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</c:numCache>
            </c:numRef>
          </c:cat>
          <c:val>
            <c:numRef>
              <c:f>'financial data'!$Q$28:$W$28</c:f>
              <c:numCache>
                <c:formatCode>0_ </c:formatCode>
                <c:ptCount val="7"/>
                <c:pt idx="0">
                  <c:v>663.89600999999993</c:v>
                </c:pt>
                <c:pt idx="1">
                  <c:v>673.64286000000004</c:v>
                </c:pt>
                <c:pt idx="2">
                  <c:v>654.64019999999994</c:v>
                </c:pt>
                <c:pt idx="3">
                  <c:v>895.9000000000002</c:v>
                </c:pt>
                <c:pt idx="4">
                  <c:v>793.37279999999998</c:v>
                </c:pt>
                <c:pt idx="5">
                  <c:v>704.47440000000006</c:v>
                </c:pt>
                <c:pt idx="6">
                  <c:v>683.56079999999986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56-4F87-A890-5544CE9089C8}"/>
            </c:ext>
          </c:extLst>
        </c:ser>
        <c:ser>
          <c:idx val="0"/>
          <c:order val="1"/>
          <c:tx>
            <c:strRef>
              <c:f>'financial data'!$B$29</c:f>
              <c:strCache>
                <c:ptCount val="1"/>
                <c:pt idx="0">
                  <c:v>software and others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'financial data'!$Q$25:$W$25</c:f>
              <c:numCache>
                <c:formatCode>General</c:formatCode>
                <c:ptCount val="7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</c:numCache>
            </c:numRef>
          </c:cat>
          <c:val>
            <c:numRef>
              <c:f>'financial data'!$Q$29:$W$29</c:f>
              <c:numCache>
                <c:formatCode>0_ </c:formatCode>
                <c:ptCount val="7"/>
                <c:pt idx="0">
                  <c:v>350.73399000000001</c:v>
                </c:pt>
                <c:pt idx="1">
                  <c:v>370.89734999999996</c:v>
                </c:pt>
                <c:pt idx="2">
                  <c:v>386.88870999999995</c:v>
                </c:pt>
                <c:pt idx="3">
                  <c:v>458.71082999999999</c:v>
                </c:pt>
                <c:pt idx="4">
                  <c:v>478.95713999999992</c:v>
                </c:pt>
                <c:pt idx="5">
                  <c:v>482.39882999999986</c:v>
                </c:pt>
                <c:pt idx="6">
                  <c:v>521.06929999999988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F56-4F87-A890-5544CE9089C8}"/>
            </c:ext>
          </c:extLst>
        </c:ser>
        <c:ser>
          <c:idx val="2"/>
          <c:order val="2"/>
          <c:tx>
            <c:strRef>
              <c:f>'financial data'!$B$30</c:f>
              <c:strCache>
                <c:ptCount val="1"/>
                <c:pt idx="0">
                  <c:v>Mobile, IP related income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'financial data'!$Q$25:$W$25</c:f>
              <c:numCache>
                <c:formatCode>General</c:formatCode>
                <c:ptCount val="7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</c:numCache>
            </c:numRef>
          </c:cat>
          <c:val>
            <c:numRef>
              <c:f>'financial data'!$Q$30:$W$30</c:f>
              <c:numCache>
                <c:formatCode>0_ </c:formatCode>
                <c:ptCount val="7"/>
                <c:pt idx="0">
                  <c:v>39.32</c:v>
                </c:pt>
                <c:pt idx="1">
                  <c:v>39.36</c:v>
                </c:pt>
                <c:pt idx="2">
                  <c:v>40.160000000000004</c:v>
                </c:pt>
                <c:pt idx="3">
                  <c:v>39.32</c:v>
                </c:pt>
                <c:pt idx="4">
                  <c:v>46</c:v>
                </c:pt>
                <c:pt idx="5">
                  <c:v>46.9</c:v>
                </c:pt>
                <c:pt idx="6">
                  <c:v>47.190000000000005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F56-4F87-A890-5544CE9089C8}"/>
            </c:ext>
          </c:extLst>
        </c:ser>
        <c:ser>
          <c:idx val="3"/>
          <c:order val="3"/>
          <c:tx>
            <c:strRef>
              <c:f>'financial data'!$B$31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numRef>
              <c:f>'financial data'!$Q$25:$W$25</c:f>
              <c:numCache>
                <c:formatCode>General</c:formatCode>
                <c:ptCount val="7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</c:numCache>
            </c:numRef>
          </c:cat>
          <c:val>
            <c:numRef>
              <c:f>'financial data'!$Q$31:$W$31</c:f>
              <c:numCache>
                <c:formatCode>0_ </c:formatCode>
                <c:ptCount val="7"/>
                <c:pt idx="0">
                  <c:v>1.73</c:v>
                </c:pt>
                <c:pt idx="1">
                  <c:v>1.8800000000000001</c:v>
                </c:pt>
                <c:pt idx="2">
                  <c:v>1.8900000000000001</c:v>
                </c:pt>
                <c:pt idx="3">
                  <c:v>1.73</c:v>
                </c:pt>
                <c:pt idx="4">
                  <c:v>1.95</c:v>
                </c:pt>
                <c:pt idx="5">
                  <c:v>1.8849999999999998</c:v>
                </c:pt>
                <c:pt idx="6">
                  <c:v>1.9499999999999997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F56-4F87-A890-5544CE9089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0630911"/>
        <c:axId val="2008919087"/>
      </c:barChart>
      <c:catAx>
        <c:axId val="106309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2008919087"/>
        <c:crosses val="autoZero"/>
        <c:auto val="1"/>
        <c:lblAlgn val="ctr"/>
        <c:lblOffset val="100"/>
        <c:noMultiLvlLbl val="0"/>
      </c:catAx>
      <c:valAx>
        <c:axId val="20089190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06309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.xml"/><Relationship Id="rId13" Type="http://schemas.openxmlformats.org/officeDocument/2006/relationships/image" Target="../media/image8.jpeg"/><Relationship Id="rId3" Type="http://schemas.openxmlformats.org/officeDocument/2006/relationships/chart" Target="../charts/chart1.xml"/><Relationship Id="rId7" Type="http://schemas.openxmlformats.org/officeDocument/2006/relationships/chart" Target="../charts/chart3.xml"/><Relationship Id="rId12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1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11" Type="http://schemas.openxmlformats.org/officeDocument/2006/relationships/chart" Target="../charts/chart5.xml"/><Relationship Id="rId5" Type="http://schemas.openxmlformats.org/officeDocument/2006/relationships/image" Target="../media/image3.png"/><Relationship Id="rId15" Type="http://schemas.openxmlformats.org/officeDocument/2006/relationships/image" Target="../media/image10.png"/><Relationship Id="rId10" Type="http://schemas.openxmlformats.org/officeDocument/2006/relationships/image" Target="../media/image6.png"/><Relationship Id="rId4" Type="http://schemas.openxmlformats.org/officeDocument/2006/relationships/chart" Target="../charts/chart2.xml"/><Relationship Id="rId9" Type="http://schemas.openxmlformats.org/officeDocument/2006/relationships/image" Target="../media/image5.png"/><Relationship Id="rId14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</xdr:col>
      <xdr:colOff>38100</xdr:colOff>
      <xdr:row>2</xdr:row>
      <xdr:rowOff>83820</xdr:rowOff>
    </xdr:to>
    <xdr:sp macro="" textlink="">
      <xdr:nvSpPr>
        <xdr:cNvPr id="1025" name="AutoShape 1" descr="닌텐도 - 나무위키">
          <a:extLst>
            <a:ext uri="{FF2B5EF4-FFF2-40B4-BE49-F238E27FC236}">
              <a16:creationId xmlns:a16="http://schemas.microsoft.com/office/drawing/2014/main" id="{7962C3C7-F3B7-460B-8EDF-070DC381E103}"/>
            </a:ext>
          </a:extLst>
        </xdr:cNvPr>
        <xdr:cNvSpPr>
          <a:spLocks noChangeAspect="1" noChangeArrowheads="1"/>
        </xdr:cNvSpPr>
      </xdr:nvSpPr>
      <xdr:spPr bwMode="auto">
        <a:xfrm>
          <a:off x="350520" y="2209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220979</xdr:colOff>
      <xdr:row>0</xdr:row>
      <xdr:rowOff>182880</xdr:rowOff>
    </xdr:from>
    <xdr:to>
      <xdr:col>7</xdr:col>
      <xdr:colOff>219989</xdr:colOff>
      <xdr:row>6</xdr:row>
      <xdr:rowOff>91440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57101C7-74B9-4F18-BE07-B36780A85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499" y="182880"/>
          <a:ext cx="3618510" cy="1234440"/>
        </a:xfrm>
        <a:prstGeom prst="rect">
          <a:avLst/>
        </a:prstGeom>
      </xdr:spPr>
    </xdr:pic>
    <xdr:clientData/>
  </xdr:twoCellAnchor>
  <xdr:twoCellAnchor editAs="oneCell">
    <xdr:from>
      <xdr:col>8</xdr:col>
      <xdr:colOff>154116</xdr:colOff>
      <xdr:row>1</xdr:row>
      <xdr:rowOff>99060</xdr:rowOff>
    </xdr:from>
    <xdr:to>
      <xdr:col>15</xdr:col>
      <xdr:colOff>183384</xdr:colOff>
      <xdr:row>17</xdr:row>
      <xdr:rowOff>190887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12BE6901-2A4E-411D-8AB5-806D15772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94696" y="320040"/>
          <a:ext cx="4723188" cy="3627507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69</xdr:row>
      <xdr:rowOff>0</xdr:rowOff>
    </xdr:from>
    <xdr:to>
      <xdr:col>8</xdr:col>
      <xdr:colOff>548640</xdr:colOff>
      <xdr:row>81</xdr:row>
      <xdr:rowOff>91440</xdr:rowOff>
    </xdr:to>
    <xdr:graphicFrame macro="">
      <xdr:nvGraphicFramePr>
        <xdr:cNvPr id="9" name="차트 8">
          <a:extLst>
            <a:ext uri="{FF2B5EF4-FFF2-40B4-BE49-F238E27FC236}">
              <a16:creationId xmlns:a16="http://schemas.microsoft.com/office/drawing/2014/main" id="{A9866461-4655-4AE0-97EA-632DFCD2418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0</xdr:colOff>
      <xdr:row>69</xdr:row>
      <xdr:rowOff>0</xdr:rowOff>
    </xdr:from>
    <xdr:to>
      <xdr:col>15</xdr:col>
      <xdr:colOff>548640</xdr:colOff>
      <xdr:row>81</xdr:row>
      <xdr:rowOff>91440</xdr:rowOff>
    </xdr:to>
    <xdr:graphicFrame macro="">
      <xdr:nvGraphicFramePr>
        <xdr:cNvPr id="10" name="차트 9">
          <a:extLst>
            <a:ext uri="{FF2B5EF4-FFF2-40B4-BE49-F238E27FC236}">
              <a16:creationId xmlns:a16="http://schemas.microsoft.com/office/drawing/2014/main" id="{7C211472-9854-4106-B5CB-C833FED7A9D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2</xdr:col>
      <xdr:colOff>320040</xdr:colOff>
      <xdr:row>19</xdr:row>
      <xdr:rowOff>213360</xdr:rowOff>
    </xdr:from>
    <xdr:to>
      <xdr:col>14</xdr:col>
      <xdr:colOff>297179</xdr:colOff>
      <xdr:row>41</xdr:row>
      <xdr:rowOff>216265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CFD1593D-88C7-45EF-B014-5FFC818A5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7260" y="4411980"/>
          <a:ext cx="8023859" cy="4864465"/>
        </a:xfrm>
        <a:prstGeom prst="rect">
          <a:avLst/>
        </a:prstGeom>
      </xdr:spPr>
    </xdr:pic>
    <xdr:clientData/>
  </xdr:twoCellAnchor>
  <xdr:twoCellAnchor editAs="oneCell">
    <xdr:from>
      <xdr:col>1</xdr:col>
      <xdr:colOff>243839</xdr:colOff>
      <xdr:row>81</xdr:row>
      <xdr:rowOff>213360</xdr:rowOff>
    </xdr:from>
    <xdr:to>
      <xdr:col>15</xdr:col>
      <xdr:colOff>544534</xdr:colOff>
      <xdr:row>95</xdr:row>
      <xdr:rowOff>53339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684DD327-A4FA-44E8-8EC2-D6588EAE6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94359" y="17830800"/>
          <a:ext cx="9284675" cy="2933699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105</xdr:row>
      <xdr:rowOff>0</xdr:rowOff>
    </xdr:from>
    <xdr:to>
      <xdr:col>8</xdr:col>
      <xdr:colOff>548640</xdr:colOff>
      <xdr:row>117</xdr:row>
      <xdr:rowOff>91440</xdr:rowOff>
    </xdr:to>
    <xdr:graphicFrame macro="">
      <xdr:nvGraphicFramePr>
        <xdr:cNvPr id="11" name="차트 10">
          <a:extLst>
            <a:ext uri="{FF2B5EF4-FFF2-40B4-BE49-F238E27FC236}">
              <a16:creationId xmlns:a16="http://schemas.microsoft.com/office/drawing/2014/main" id="{2A412EAD-E7DB-452A-B346-AC19703768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9</xdr:col>
      <xdr:colOff>30480</xdr:colOff>
      <xdr:row>105</xdr:row>
      <xdr:rowOff>0</xdr:rowOff>
    </xdr:from>
    <xdr:to>
      <xdr:col>15</xdr:col>
      <xdr:colOff>579120</xdr:colOff>
      <xdr:row>117</xdr:row>
      <xdr:rowOff>91440</xdr:rowOff>
    </xdr:to>
    <xdr:graphicFrame macro="">
      <xdr:nvGraphicFramePr>
        <xdr:cNvPr id="12" name="차트 11">
          <a:extLst>
            <a:ext uri="{FF2B5EF4-FFF2-40B4-BE49-F238E27FC236}">
              <a16:creationId xmlns:a16="http://schemas.microsoft.com/office/drawing/2014/main" id="{87DE2E85-BD40-4D40-9253-8A2B1023444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 editAs="oneCell">
    <xdr:from>
      <xdr:col>15</xdr:col>
      <xdr:colOff>236221</xdr:colOff>
      <xdr:row>148</xdr:row>
      <xdr:rowOff>121921</xdr:rowOff>
    </xdr:from>
    <xdr:to>
      <xdr:col>22</xdr:col>
      <xdr:colOff>419100</xdr:colOff>
      <xdr:row>160</xdr:row>
      <xdr:rowOff>213360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9FED1D4-DED0-4ADF-9C93-FCD6336ED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70721" y="33147001"/>
          <a:ext cx="4876799" cy="2743199"/>
        </a:xfrm>
        <a:prstGeom prst="rect">
          <a:avLst/>
        </a:prstGeom>
      </xdr:spPr>
    </xdr:pic>
    <xdr:clientData/>
  </xdr:twoCellAnchor>
  <xdr:twoCellAnchor editAs="oneCell">
    <xdr:from>
      <xdr:col>15</xdr:col>
      <xdr:colOff>162560</xdr:colOff>
      <xdr:row>161</xdr:row>
      <xdr:rowOff>99060</xdr:rowOff>
    </xdr:from>
    <xdr:to>
      <xdr:col>23</xdr:col>
      <xdr:colOff>28766</xdr:colOff>
      <xdr:row>172</xdr:row>
      <xdr:rowOff>22089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25AE5B65-D506-403E-9549-DF5C8784C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497060" y="35996880"/>
          <a:ext cx="5230686" cy="2353809"/>
        </a:xfrm>
        <a:prstGeom prst="rect">
          <a:avLst/>
        </a:prstGeom>
      </xdr:spPr>
    </xdr:pic>
    <xdr:clientData/>
  </xdr:twoCellAnchor>
  <xdr:twoCellAnchor>
    <xdr:from>
      <xdr:col>16</xdr:col>
      <xdr:colOff>0</xdr:colOff>
      <xdr:row>69</xdr:row>
      <xdr:rowOff>0</xdr:rowOff>
    </xdr:from>
    <xdr:to>
      <xdr:col>22</xdr:col>
      <xdr:colOff>548640</xdr:colOff>
      <xdr:row>81</xdr:row>
      <xdr:rowOff>91440</xdr:rowOff>
    </xdr:to>
    <xdr:graphicFrame macro="">
      <xdr:nvGraphicFramePr>
        <xdr:cNvPr id="14" name="차트 13">
          <a:extLst>
            <a:ext uri="{FF2B5EF4-FFF2-40B4-BE49-F238E27FC236}">
              <a16:creationId xmlns:a16="http://schemas.microsoft.com/office/drawing/2014/main" id="{5A5ED516-6B04-4649-8D9C-13015B5C86A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 editAs="oneCell">
    <xdr:from>
      <xdr:col>10</xdr:col>
      <xdr:colOff>594360</xdr:colOff>
      <xdr:row>237</xdr:row>
      <xdr:rowOff>30480</xdr:rowOff>
    </xdr:from>
    <xdr:to>
      <xdr:col>19</xdr:col>
      <xdr:colOff>290057</xdr:colOff>
      <xdr:row>251</xdr:row>
      <xdr:rowOff>160299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7202C4A-8A1D-4D29-BF61-D224EECE7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76060" y="52882800"/>
          <a:ext cx="5730737" cy="3223539"/>
        </a:xfrm>
        <a:prstGeom prst="rect">
          <a:avLst/>
        </a:prstGeom>
      </xdr:spPr>
    </xdr:pic>
    <xdr:clientData/>
  </xdr:twoCellAnchor>
  <xdr:twoCellAnchor editAs="oneCell">
    <xdr:from>
      <xdr:col>12</xdr:col>
      <xdr:colOff>308179</xdr:colOff>
      <xdr:row>310</xdr:row>
      <xdr:rowOff>38100</xdr:rowOff>
    </xdr:from>
    <xdr:to>
      <xdr:col>15</xdr:col>
      <xdr:colOff>496559</xdr:colOff>
      <xdr:row>316</xdr:row>
      <xdr:rowOff>175260</xdr:rowOff>
    </xdr:to>
    <xdr:pic>
      <xdr:nvPicPr>
        <xdr:cNvPr id="17" name="그림 16" descr="닌텐도 스위치 2, 독 모드는 'XSS', 휴대 모드에선 'ROG Ally'급 성능?... 전 세계 게이머 기대감 재점화! &lt;  AVING NOW &lt; 산업 &lt; 기사본문 - 에이빙(AVING)">
          <a:extLst>
            <a:ext uri="{FF2B5EF4-FFF2-40B4-BE49-F238E27FC236}">
              <a16:creationId xmlns:a16="http://schemas.microsoft.com/office/drawing/2014/main" id="{66E5A913-3822-4BC4-82D0-F77DB54F6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30999" y="69021960"/>
          <a:ext cx="2200060" cy="1463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182880</xdr:colOff>
      <xdr:row>369</xdr:row>
      <xdr:rowOff>152400</xdr:rowOff>
    </xdr:from>
    <xdr:to>
      <xdr:col>11</xdr:col>
      <xdr:colOff>281940</xdr:colOff>
      <xdr:row>385</xdr:row>
      <xdr:rowOff>67151</xdr:rowOff>
    </xdr:to>
    <xdr:pic>
      <xdr:nvPicPr>
        <xdr:cNvPr id="18" name="그림 17" descr="AAA games to hit average costs of $200m by 2020&quot; : r/xboxone">
          <a:extLst>
            <a:ext uri="{FF2B5EF4-FFF2-40B4-BE49-F238E27FC236}">
              <a16:creationId xmlns:a16="http://schemas.microsoft.com/office/drawing/2014/main" id="{1A56EC65-C6C5-47B0-9ACD-A48915F7D8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0100" y="82334100"/>
          <a:ext cx="6134100" cy="3450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121920</xdr:colOff>
      <xdr:row>387</xdr:row>
      <xdr:rowOff>68580</xdr:rowOff>
    </xdr:from>
    <xdr:to>
      <xdr:col>19</xdr:col>
      <xdr:colOff>0</xdr:colOff>
      <xdr:row>397</xdr:row>
      <xdr:rowOff>62798</xdr:rowOff>
    </xdr:to>
    <xdr:pic>
      <xdr:nvPicPr>
        <xdr:cNvPr id="19" name="그림 18" descr="League of Legends Player Count: Today and Through the Years">
          <a:extLst>
            <a:ext uri="{FF2B5EF4-FFF2-40B4-BE49-F238E27FC236}">
              <a16:creationId xmlns:a16="http://schemas.microsoft.com/office/drawing/2014/main" id="{10B99EC2-7D2B-4574-BB8B-AFBBD46D75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86227920"/>
          <a:ext cx="3901440" cy="2204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609601</xdr:colOff>
      <xdr:row>442</xdr:row>
      <xdr:rowOff>76200</xdr:rowOff>
    </xdr:from>
    <xdr:to>
      <xdr:col>13</xdr:col>
      <xdr:colOff>565995</xdr:colOff>
      <xdr:row>456</xdr:row>
      <xdr:rowOff>114300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3E4F6051-15EC-408D-B3A3-29A0C7C3E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26821" y="98549460"/>
          <a:ext cx="7332554" cy="31318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563879</xdr:colOff>
      <xdr:row>4</xdr:row>
      <xdr:rowOff>211456</xdr:rowOff>
    </xdr:from>
    <xdr:to>
      <xdr:col>11</xdr:col>
      <xdr:colOff>350520</xdr:colOff>
      <xdr:row>23</xdr:row>
      <xdr:rowOff>101919</xdr:rowOff>
    </xdr:to>
    <xdr:pic>
      <xdr:nvPicPr>
        <xdr:cNvPr id="2" name="그림 1" descr="Global games market revenues in 2023 per segment and platform with year-on-year growth rates. ">
          <a:extLst>
            <a:ext uri="{FF2B5EF4-FFF2-40B4-BE49-F238E27FC236}">
              <a16:creationId xmlns:a16="http://schemas.microsoft.com/office/drawing/2014/main" id="{DF230962-827E-45C4-AAC5-48F527C04A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879" y="1095376"/>
          <a:ext cx="7269481" cy="4089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266700</xdr:colOff>
      <xdr:row>166</xdr:row>
      <xdr:rowOff>121920</xdr:rowOff>
    </xdr:from>
    <xdr:to>
      <xdr:col>11</xdr:col>
      <xdr:colOff>114300</xdr:colOff>
      <xdr:row>179</xdr:row>
      <xdr:rowOff>106680</xdr:rowOff>
    </xdr:to>
    <xdr:pic>
      <xdr:nvPicPr>
        <xdr:cNvPr id="3" name="그림 2" descr="차세대 콘솔 승자는?…플스5 vs 엑스박스 시리즈X - 노컷뉴스">
          <a:extLst>
            <a:ext uri="{FF2B5EF4-FFF2-40B4-BE49-F238E27FC236}">
              <a16:creationId xmlns:a16="http://schemas.microsoft.com/office/drawing/2014/main" id="{DF53888F-3A89-41A5-9475-D6F92BE9B0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37124640"/>
          <a:ext cx="6766560" cy="285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4DE815-C153-4379-A752-F86DE71E267D}">
  <dimension ref="A1:P476"/>
  <sheetViews>
    <sheetView showGridLines="0" topLeftCell="A441" workbookViewId="0">
      <selection activeCell="F480" sqref="F480"/>
    </sheetView>
  </sheetViews>
  <sheetFormatPr defaultRowHeight="17.399999999999999"/>
  <cols>
    <col min="1" max="1" width="4.59765625" style="4" customWidth="1"/>
    <col min="2" max="2" width="3.5" style="2" customWidth="1"/>
    <col min="16" max="16" width="8.796875" style="3"/>
    <col min="17" max="16384" width="8.796875" style="5"/>
  </cols>
  <sheetData>
    <row r="1" spans="2:16" s="4" customFormat="1">
      <c r="B1" s="2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3"/>
    </row>
    <row r="9" spans="2:16">
      <c r="C9" t="s">
        <v>0</v>
      </c>
    </row>
    <row r="10" spans="2:16">
      <c r="C10" t="s">
        <v>1</v>
      </c>
    </row>
    <row r="44" spans="3:3">
      <c r="C44" t="s">
        <v>525</v>
      </c>
    </row>
    <row r="45" spans="3:3">
      <c r="C45" t="s">
        <v>478</v>
      </c>
    </row>
    <row r="46" spans="3:3">
      <c r="C46" t="s">
        <v>279</v>
      </c>
    </row>
    <row r="47" spans="3:3">
      <c r="C47" t="s">
        <v>280</v>
      </c>
    </row>
    <row r="48" spans="3:3">
      <c r="C48" t="s">
        <v>281</v>
      </c>
    </row>
    <row r="49" spans="2:16">
      <c r="C49" t="s">
        <v>282</v>
      </c>
    </row>
    <row r="50" spans="2:16">
      <c r="C50" t="s">
        <v>526</v>
      </c>
    </row>
    <row r="51" spans="2:16">
      <c r="C51" t="s">
        <v>479</v>
      </c>
    </row>
    <row r="52" spans="2:16">
      <c r="C52" t="s">
        <v>283</v>
      </c>
    </row>
    <row r="53" spans="2:16">
      <c r="C53" t="s">
        <v>286</v>
      </c>
    </row>
    <row r="54" spans="2:16">
      <c r="C54" t="s">
        <v>284</v>
      </c>
    </row>
    <row r="55" spans="2:16">
      <c r="C55" t="s">
        <v>285</v>
      </c>
    </row>
    <row r="58" spans="2:16" ht="30">
      <c r="B58" s="39"/>
      <c r="C58" s="22" t="s">
        <v>293</v>
      </c>
      <c r="D58" s="22"/>
      <c r="E58" s="22"/>
      <c r="F58" s="22"/>
      <c r="G58" s="22"/>
      <c r="H58" s="22"/>
      <c r="I58" s="22"/>
      <c r="J58" s="22"/>
      <c r="K58" s="22"/>
      <c r="L58" s="22"/>
      <c r="M58" s="22"/>
      <c r="N58" s="22"/>
      <c r="O58" s="22"/>
      <c r="P58" s="40"/>
    </row>
    <row r="60" spans="2:16">
      <c r="C60" t="s">
        <v>273</v>
      </c>
    </row>
    <row r="61" spans="2:16">
      <c r="C61" t="s">
        <v>480</v>
      </c>
    </row>
    <row r="62" spans="2:16">
      <c r="C62" t="s">
        <v>288</v>
      </c>
    </row>
    <row r="63" spans="2:16">
      <c r="C63" t="s">
        <v>289</v>
      </c>
    </row>
    <row r="64" spans="2:16">
      <c r="C64" t="s">
        <v>274</v>
      </c>
    </row>
    <row r="65" spans="3:3">
      <c r="C65" t="s">
        <v>275</v>
      </c>
    </row>
    <row r="67" spans="3:3">
      <c r="C67" t="s">
        <v>276</v>
      </c>
    </row>
    <row r="68" spans="3:3">
      <c r="C68" t="s">
        <v>277</v>
      </c>
    </row>
    <row r="97" spans="3:3">
      <c r="C97" t="s">
        <v>287</v>
      </c>
    </row>
    <row r="98" spans="3:3">
      <c r="C98" t="s">
        <v>290</v>
      </c>
    </row>
    <row r="100" spans="3:3">
      <c r="C100" t="s">
        <v>291</v>
      </c>
    </row>
    <row r="101" spans="3:3">
      <c r="C101" t="s">
        <v>481</v>
      </c>
    </row>
    <row r="102" spans="3:3">
      <c r="C102" t="s">
        <v>292</v>
      </c>
    </row>
    <row r="103" spans="3:3">
      <c r="C103" t="s">
        <v>294</v>
      </c>
    </row>
    <row r="104" spans="3:3">
      <c r="C104" t="s">
        <v>295</v>
      </c>
    </row>
    <row r="119" spans="2:16">
      <c r="C119" t="s">
        <v>296</v>
      </c>
    </row>
    <row r="120" spans="2:16">
      <c r="C120" t="s">
        <v>297</v>
      </c>
    </row>
    <row r="121" spans="2:16">
      <c r="C121" t="s">
        <v>298</v>
      </c>
    </row>
    <row r="122" spans="2:16">
      <c r="C122" t="s">
        <v>482</v>
      </c>
    </row>
    <row r="125" spans="2:16" ht="30">
      <c r="B125" s="39"/>
      <c r="C125" s="22" t="s">
        <v>299</v>
      </c>
      <c r="D125" s="22"/>
      <c r="E125" s="22"/>
      <c r="F125" s="22"/>
      <c r="G125" s="22"/>
      <c r="H125" s="22"/>
      <c r="I125" s="22"/>
      <c r="J125" s="22"/>
      <c r="K125" s="22"/>
      <c r="L125" s="22"/>
      <c r="M125" s="22"/>
      <c r="N125" s="22"/>
      <c r="O125" s="22"/>
      <c r="P125" s="40"/>
    </row>
    <row r="127" spans="2:16">
      <c r="C127" s="12" t="s">
        <v>330</v>
      </c>
      <c r="D127" s="12"/>
      <c r="E127" s="12"/>
      <c r="F127" s="12"/>
      <c r="G127" s="12"/>
      <c r="H127" s="12"/>
      <c r="I127" s="12"/>
    </row>
    <row r="129" spans="3:3">
      <c r="C129" t="s">
        <v>300</v>
      </c>
    </row>
    <row r="130" spans="3:3">
      <c r="C130" t="s">
        <v>301</v>
      </c>
    </row>
    <row r="132" spans="3:3">
      <c r="C132" t="s">
        <v>483</v>
      </c>
    </row>
    <row r="133" spans="3:3">
      <c r="C133" t="s">
        <v>302</v>
      </c>
    </row>
    <row r="134" spans="3:3">
      <c r="C134" t="s">
        <v>303</v>
      </c>
    </row>
    <row r="135" spans="3:3">
      <c r="C135" t="s">
        <v>304</v>
      </c>
    </row>
    <row r="136" spans="3:3">
      <c r="C136" t="s">
        <v>527</v>
      </c>
    </row>
    <row r="138" spans="3:3">
      <c r="C138" t="s">
        <v>305</v>
      </c>
    </row>
    <row r="139" spans="3:3">
      <c r="C139" t="s">
        <v>306</v>
      </c>
    </row>
    <row r="141" spans="3:3">
      <c r="C141" t="s">
        <v>307</v>
      </c>
    </row>
    <row r="142" spans="3:3">
      <c r="C142" t="s">
        <v>308</v>
      </c>
    </row>
    <row r="144" spans="3:3">
      <c r="C144" t="s">
        <v>309</v>
      </c>
    </row>
    <row r="145" spans="3:3">
      <c r="C145" t="s">
        <v>310</v>
      </c>
    </row>
    <row r="146" spans="3:3">
      <c r="C146" t="s">
        <v>311</v>
      </c>
    </row>
    <row r="148" spans="3:3">
      <c r="C148" t="s">
        <v>312</v>
      </c>
    </row>
    <row r="149" spans="3:3">
      <c r="C149" t="s">
        <v>313</v>
      </c>
    </row>
    <row r="151" spans="3:3">
      <c r="C151" t="s">
        <v>314</v>
      </c>
    </row>
    <row r="152" spans="3:3">
      <c r="C152" t="s">
        <v>315</v>
      </c>
    </row>
    <row r="154" spans="3:3">
      <c r="C154" t="s">
        <v>319</v>
      </c>
    </row>
    <row r="155" spans="3:3">
      <c r="C155" s="46" t="s">
        <v>321</v>
      </c>
    </row>
    <row r="156" spans="3:3">
      <c r="C156" s="46" t="s">
        <v>320</v>
      </c>
    </row>
    <row r="157" spans="3:3">
      <c r="C157" s="46" t="s">
        <v>322</v>
      </c>
    </row>
    <row r="158" spans="3:3">
      <c r="C158" s="46" t="s">
        <v>323</v>
      </c>
    </row>
    <row r="159" spans="3:3">
      <c r="C159" s="46" t="s">
        <v>324</v>
      </c>
    </row>
    <row r="160" spans="3:3">
      <c r="C160" s="46" t="s">
        <v>325</v>
      </c>
    </row>
    <row r="162" spans="2:16">
      <c r="C162" s="12" t="s">
        <v>329</v>
      </c>
      <c r="D162" s="12"/>
      <c r="E162" s="12"/>
      <c r="F162" s="12"/>
      <c r="G162" s="12"/>
      <c r="H162" s="12"/>
      <c r="I162" s="12"/>
    </row>
    <row r="164" spans="2:16">
      <c r="C164" t="s">
        <v>316</v>
      </c>
    </row>
    <row r="165" spans="2:16">
      <c r="C165" t="s">
        <v>317</v>
      </c>
    </row>
    <row r="166" spans="2:16">
      <c r="C166" t="s">
        <v>318</v>
      </c>
    </row>
    <row r="168" spans="2:16">
      <c r="C168" t="s">
        <v>326</v>
      </c>
    </row>
    <row r="169" spans="2:16">
      <c r="C169" t="s">
        <v>327</v>
      </c>
    </row>
    <row r="175" spans="2:16" ht="30">
      <c r="B175" s="39"/>
      <c r="C175" s="22" t="s">
        <v>328</v>
      </c>
      <c r="D175" s="22"/>
      <c r="E175" s="22"/>
      <c r="F175" s="22"/>
      <c r="G175" s="22"/>
      <c r="H175" s="22"/>
      <c r="I175" s="22"/>
      <c r="J175" s="22"/>
      <c r="K175" s="22"/>
      <c r="L175" s="22"/>
      <c r="M175" s="22"/>
      <c r="N175" s="22"/>
      <c r="O175" s="22"/>
      <c r="P175" s="40"/>
    </row>
    <row r="177" spans="3:9">
      <c r="C177" t="s">
        <v>528</v>
      </c>
    </row>
    <row r="178" spans="3:9">
      <c r="C178" t="s">
        <v>531</v>
      </c>
    </row>
    <row r="179" spans="3:9">
      <c r="C179" t="s">
        <v>334</v>
      </c>
    </row>
    <row r="180" spans="3:9">
      <c r="C180" t="s">
        <v>335</v>
      </c>
    </row>
    <row r="182" spans="3:9">
      <c r="C182" t="s">
        <v>532</v>
      </c>
    </row>
    <row r="183" spans="3:9">
      <c r="C183" t="s">
        <v>529</v>
      </c>
    </row>
    <row r="184" spans="3:9">
      <c r="C184" t="s">
        <v>331</v>
      </c>
    </row>
    <row r="185" spans="3:9">
      <c r="C185" t="s">
        <v>332</v>
      </c>
    </row>
    <row r="187" spans="3:9">
      <c r="C187" t="s">
        <v>484</v>
      </c>
    </row>
    <row r="189" spans="3:9">
      <c r="C189" s="12" t="s">
        <v>333</v>
      </c>
      <c r="D189" s="12"/>
      <c r="E189" s="12"/>
      <c r="F189" s="12"/>
      <c r="G189" s="12"/>
      <c r="H189" s="12"/>
      <c r="I189" s="12"/>
    </row>
    <row r="191" spans="3:9">
      <c r="C191" t="s">
        <v>355</v>
      </c>
    </row>
    <row r="192" spans="3:9">
      <c r="C192" t="s">
        <v>485</v>
      </c>
    </row>
    <row r="194" spans="3:3">
      <c r="C194" s="46" t="s">
        <v>336</v>
      </c>
    </row>
    <row r="195" spans="3:3">
      <c r="C195" s="46" t="s">
        <v>337</v>
      </c>
    </row>
    <row r="196" spans="3:3">
      <c r="C196" s="46" t="s">
        <v>338</v>
      </c>
    </row>
    <row r="197" spans="3:3">
      <c r="C197" s="47" t="s">
        <v>339</v>
      </c>
    </row>
    <row r="198" spans="3:3">
      <c r="C198" s="47" t="s">
        <v>340</v>
      </c>
    </row>
    <row r="199" spans="3:3">
      <c r="C199" s="46" t="s">
        <v>341</v>
      </c>
    </row>
    <row r="200" spans="3:3">
      <c r="C200" s="47" t="s">
        <v>342</v>
      </c>
    </row>
    <row r="201" spans="3:3">
      <c r="C201" s="47" t="s">
        <v>343</v>
      </c>
    </row>
    <row r="202" spans="3:3">
      <c r="C202" s="46" t="s">
        <v>344</v>
      </c>
    </row>
    <row r="203" spans="3:3">
      <c r="C203" s="46" t="s">
        <v>345</v>
      </c>
    </row>
    <row r="204" spans="3:3">
      <c r="C204" s="46" t="s">
        <v>347</v>
      </c>
    </row>
    <row r="205" spans="3:3">
      <c r="C205" s="46" t="s">
        <v>346</v>
      </c>
    </row>
    <row r="207" spans="3:3">
      <c r="C207" s="48" t="s">
        <v>486</v>
      </c>
    </row>
    <row r="209" spans="3:3">
      <c r="C209" t="s">
        <v>348</v>
      </c>
    </row>
    <row r="210" spans="3:3">
      <c r="C210" t="s">
        <v>349</v>
      </c>
    </row>
    <row r="211" spans="3:3">
      <c r="C211" t="s">
        <v>350</v>
      </c>
    </row>
    <row r="213" spans="3:3">
      <c r="C213" t="s">
        <v>351</v>
      </c>
    </row>
    <row r="215" spans="3:3">
      <c r="C215" t="s">
        <v>352</v>
      </c>
    </row>
    <row r="216" spans="3:3">
      <c r="C216" t="s">
        <v>353</v>
      </c>
    </row>
    <row r="217" spans="3:3">
      <c r="C217" t="s">
        <v>354</v>
      </c>
    </row>
    <row r="219" spans="3:3">
      <c r="C219" t="s">
        <v>356</v>
      </c>
    </row>
    <row r="220" spans="3:3">
      <c r="C220" t="s">
        <v>357</v>
      </c>
    </row>
    <row r="221" spans="3:3">
      <c r="C221" t="s">
        <v>358</v>
      </c>
    </row>
    <row r="223" spans="3:3">
      <c r="C223" t="s">
        <v>359</v>
      </c>
    </row>
    <row r="224" spans="3:3">
      <c r="C224" t="s">
        <v>360</v>
      </c>
    </row>
    <row r="226" spans="3:3">
      <c r="C226" t="s">
        <v>361</v>
      </c>
    </row>
    <row r="227" spans="3:3">
      <c r="C227" t="s">
        <v>362</v>
      </c>
    </row>
    <row r="228" spans="3:3">
      <c r="C228" t="s">
        <v>487</v>
      </c>
    </row>
    <row r="229" spans="3:3">
      <c r="C229" t="s">
        <v>488</v>
      </c>
    </row>
    <row r="231" spans="3:3">
      <c r="C231" t="s">
        <v>363</v>
      </c>
    </row>
    <row r="232" spans="3:3">
      <c r="C232" t="s">
        <v>364</v>
      </c>
    </row>
    <row r="233" spans="3:3">
      <c r="C233" t="s">
        <v>365</v>
      </c>
    </row>
    <row r="235" spans="3:3">
      <c r="C235" t="s">
        <v>489</v>
      </c>
    </row>
    <row r="236" spans="3:3">
      <c r="C236" t="s">
        <v>490</v>
      </c>
    </row>
    <row r="237" spans="3:3">
      <c r="C237" t="s">
        <v>491</v>
      </c>
    </row>
    <row r="239" spans="3:3">
      <c r="C239" t="s">
        <v>367</v>
      </c>
    </row>
    <row r="240" spans="3:3">
      <c r="C240" t="s">
        <v>368</v>
      </c>
    </row>
    <row r="241" spans="3:9">
      <c r="C241" t="s">
        <v>369</v>
      </c>
    </row>
    <row r="243" spans="3:9">
      <c r="C243" t="s">
        <v>370</v>
      </c>
    </row>
    <row r="245" spans="3:9">
      <c r="C245" t="s">
        <v>371</v>
      </c>
    </row>
    <row r="246" spans="3:9">
      <c r="C246" t="s">
        <v>372</v>
      </c>
    </row>
    <row r="254" spans="3:9">
      <c r="C254" s="12" t="s">
        <v>366</v>
      </c>
      <c r="D254" s="12"/>
      <c r="E254" s="12"/>
      <c r="F254" s="12"/>
      <c r="G254" s="12"/>
      <c r="H254" s="12"/>
      <c r="I254" s="12"/>
    </row>
    <row r="256" spans="3:9">
      <c r="C256" t="s">
        <v>373</v>
      </c>
    </row>
    <row r="257" spans="3:3">
      <c r="C257" t="s">
        <v>374</v>
      </c>
    </row>
    <row r="258" spans="3:3">
      <c r="C258" t="s">
        <v>375</v>
      </c>
    </row>
    <row r="260" spans="3:3">
      <c r="C260" t="s">
        <v>376</v>
      </c>
    </row>
    <row r="261" spans="3:3">
      <c r="C261" t="s">
        <v>377</v>
      </c>
    </row>
    <row r="262" spans="3:3">
      <c r="C262" t="s">
        <v>378</v>
      </c>
    </row>
    <row r="264" spans="3:3">
      <c r="C264" t="s">
        <v>492</v>
      </c>
    </row>
    <row r="265" spans="3:3">
      <c r="C265" t="s">
        <v>379</v>
      </c>
    </row>
    <row r="267" spans="3:3">
      <c r="C267" t="s">
        <v>380</v>
      </c>
    </row>
    <row r="268" spans="3:3">
      <c r="C268" t="s">
        <v>381</v>
      </c>
    </row>
    <row r="270" spans="3:3">
      <c r="C270" t="s">
        <v>382</v>
      </c>
    </row>
    <row r="271" spans="3:3">
      <c r="C271" t="s">
        <v>383</v>
      </c>
    </row>
    <row r="273" spans="3:3">
      <c r="C273" t="s">
        <v>384</v>
      </c>
    </row>
    <row r="274" spans="3:3">
      <c r="C274" t="s">
        <v>385</v>
      </c>
    </row>
    <row r="276" spans="3:3">
      <c r="C276" t="s">
        <v>386</v>
      </c>
    </row>
    <row r="277" spans="3:3">
      <c r="C277" t="s">
        <v>387</v>
      </c>
    </row>
    <row r="279" spans="3:3">
      <c r="C279" t="s">
        <v>388</v>
      </c>
    </row>
    <row r="280" spans="3:3">
      <c r="C280" t="s">
        <v>389</v>
      </c>
    </row>
    <row r="281" spans="3:3">
      <c r="C281" t="s">
        <v>390</v>
      </c>
    </row>
    <row r="282" spans="3:3">
      <c r="C282" t="s">
        <v>421</v>
      </c>
    </row>
    <row r="284" spans="3:3">
      <c r="C284" t="s">
        <v>391</v>
      </c>
    </row>
    <row r="285" spans="3:3">
      <c r="C285" t="s">
        <v>392</v>
      </c>
    </row>
    <row r="286" spans="3:3">
      <c r="C286" t="s">
        <v>393</v>
      </c>
    </row>
    <row r="287" spans="3:3">
      <c r="C287" t="s">
        <v>394</v>
      </c>
    </row>
    <row r="288" spans="3:3">
      <c r="C288" t="s">
        <v>395</v>
      </c>
    </row>
    <row r="289" spans="3:9">
      <c r="C289" t="s">
        <v>396</v>
      </c>
    </row>
    <row r="290" spans="3:9">
      <c r="C290" t="s">
        <v>397</v>
      </c>
    </row>
    <row r="291" spans="3:9">
      <c r="C291" t="s">
        <v>398</v>
      </c>
    </row>
    <row r="293" spans="3:9">
      <c r="C293" t="s">
        <v>399</v>
      </c>
    </row>
    <row r="294" spans="3:9">
      <c r="C294" t="s">
        <v>400</v>
      </c>
    </row>
    <row r="295" spans="3:9">
      <c r="C295" t="s">
        <v>493</v>
      </c>
    </row>
    <row r="297" spans="3:9">
      <c r="C297" t="s">
        <v>401</v>
      </c>
    </row>
    <row r="298" spans="3:9">
      <c r="C298" t="s">
        <v>402</v>
      </c>
    </row>
    <row r="300" spans="3:9">
      <c r="C300" t="s">
        <v>403</v>
      </c>
    </row>
    <row r="301" spans="3:9">
      <c r="C301" t="s">
        <v>404</v>
      </c>
    </row>
    <row r="302" spans="3:9">
      <c r="C302" t="s">
        <v>494</v>
      </c>
    </row>
    <row r="304" spans="3:9">
      <c r="C304" s="12" t="s">
        <v>411</v>
      </c>
      <c r="D304" s="12"/>
      <c r="E304" s="12"/>
      <c r="F304" s="12"/>
      <c r="G304" s="12"/>
      <c r="H304" s="12"/>
      <c r="I304" s="12"/>
    </row>
    <row r="306" spans="3:3">
      <c r="C306" t="s">
        <v>405</v>
      </c>
    </row>
    <row r="307" spans="3:3">
      <c r="C307" t="s">
        <v>406</v>
      </c>
    </row>
    <row r="308" spans="3:3">
      <c r="C308" t="s">
        <v>495</v>
      </c>
    </row>
    <row r="310" spans="3:3">
      <c r="C310" t="s">
        <v>407</v>
      </c>
    </row>
    <row r="311" spans="3:3">
      <c r="C311" t="s">
        <v>408</v>
      </c>
    </row>
    <row r="313" spans="3:3">
      <c r="C313" t="s">
        <v>530</v>
      </c>
    </row>
    <row r="314" spans="3:3">
      <c r="C314" t="s">
        <v>409</v>
      </c>
    </row>
    <row r="315" spans="3:3">
      <c r="C315" t="s">
        <v>410</v>
      </c>
    </row>
    <row r="317" spans="3:3">
      <c r="C317" t="s">
        <v>496</v>
      </c>
    </row>
    <row r="318" spans="3:3">
      <c r="C318" t="s">
        <v>412</v>
      </c>
    </row>
    <row r="319" spans="3:3">
      <c r="C319" t="s">
        <v>497</v>
      </c>
    </row>
    <row r="321" spans="3:3">
      <c r="C321" t="s">
        <v>413</v>
      </c>
    </row>
    <row r="322" spans="3:3">
      <c r="C322" t="s">
        <v>498</v>
      </c>
    </row>
    <row r="323" spans="3:3">
      <c r="C323" t="s">
        <v>414</v>
      </c>
    </row>
    <row r="324" spans="3:3">
      <c r="C324" t="s">
        <v>499</v>
      </c>
    </row>
    <row r="325" spans="3:3">
      <c r="C325" t="s">
        <v>500</v>
      </c>
    </row>
    <row r="326" spans="3:3">
      <c r="C326" t="s">
        <v>415</v>
      </c>
    </row>
    <row r="327" spans="3:3">
      <c r="C327" t="s">
        <v>416</v>
      </c>
    </row>
    <row r="329" spans="3:3">
      <c r="C329" t="s">
        <v>501</v>
      </c>
    </row>
    <row r="330" spans="3:3">
      <c r="C330" t="s">
        <v>502</v>
      </c>
    </row>
    <row r="331" spans="3:3">
      <c r="C331" t="s">
        <v>417</v>
      </c>
    </row>
    <row r="332" spans="3:3">
      <c r="C332" t="s">
        <v>503</v>
      </c>
    </row>
    <row r="334" spans="3:3">
      <c r="C334" t="s">
        <v>418</v>
      </c>
    </row>
    <row r="335" spans="3:3">
      <c r="C335" t="s">
        <v>504</v>
      </c>
    </row>
    <row r="336" spans="3:3">
      <c r="C336" t="s">
        <v>419</v>
      </c>
    </row>
    <row r="340" spans="2:16" ht="30">
      <c r="B340" s="39"/>
      <c r="C340" s="22" t="s">
        <v>420</v>
      </c>
      <c r="D340" s="22"/>
      <c r="E340" s="22"/>
      <c r="F340" s="22"/>
      <c r="G340" s="22"/>
      <c r="H340" s="22"/>
      <c r="I340" s="22"/>
      <c r="J340" s="22"/>
      <c r="K340" s="22"/>
      <c r="L340" s="22"/>
      <c r="M340" s="22"/>
      <c r="N340" s="22"/>
      <c r="O340" s="22"/>
      <c r="P340" s="40"/>
    </row>
    <row r="342" spans="2:16">
      <c r="C342" t="s">
        <v>424</v>
      </c>
    </row>
    <row r="343" spans="2:16">
      <c r="C343" t="s">
        <v>425</v>
      </c>
    </row>
    <row r="345" spans="2:16">
      <c r="C345" t="s">
        <v>426</v>
      </c>
    </row>
    <row r="346" spans="2:16">
      <c r="C346" t="s">
        <v>427</v>
      </c>
    </row>
    <row r="347" spans="2:16">
      <c r="C347" t="s">
        <v>428</v>
      </c>
    </row>
    <row r="348" spans="2:16">
      <c r="C348" t="s">
        <v>505</v>
      </c>
    </row>
    <row r="350" spans="2:16">
      <c r="C350" t="s">
        <v>429</v>
      </c>
    </row>
    <row r="351" spans="2:16">
      <c r="C351" t="s">
        <v>506</v>
      </c>
    </row>
    <row r="353" spans="3:3">
      <c r="C353" t="s">
        <v>507</v>
      </c>
    </row>
    <row r="354" spans="3:3">
      <c r="C354" t="s">
        <v>430</v>
      </c>
    </row>
    <row r="355" spans="3:3">
      <c r="C355" t="s">
        <v>431</v>
      </c>
    </row>
    <row r="357" spans="3:3">
      <c r="C357" s="13" t="s">
        <v>432</v>
      </c>
    </row>
    <row r="358" spans="3:3">
      <c r="C358" t="s">
        <v>433</v>
      </c>
    </row>
    <row r="359" spans="3:3">
      <c r="C359" t="s">
        <v>434</v>
      </c>
    </row>
    <row r="360" spans="3:3">
      <c r="C360" t="s">
        <v>435</v>
      </c>
    </row>
    <row r="362" spans="3:3">
      <c r="C362" t="s">
        <v>436</v>
      </c>
    </row>
    <row r="363" spans="3:3">
      <c r="C363" t="s">
        <v>437</v>
      </c>
    </row>
    <row r="365" spans="3:3">
      <c r="C365" t="s">
        <v>438</v>
      </c>
    </row>
    <row r="366" spans="3:3">
      <c r="C366" t="s">
        <v>439</v>
      </c>
    </row>
    <row r="368" spans="3:3">
      <c r="C368" t="s">
        <v>440</v>
      </c>
    </row>
    <row r="369" spans="3:3">
      <c r="C369" t="s">
        <v>441</v>
      </c>
    </row>
    <row r="388" spans="3:3">
      <c r="C388" s="13" t="s">
        <v>446</v>
      </c>
    </row>
    <row r="389" spans="3:3">
      <c r="C389" t="s">
        <v>442</v>
      </c>
    </row>
    <row r="390" spans="3:3">
      <c r="C390" t="s">
        <v>443</v>
      </c>
    </row>
    <row r="391" spans="3:3">
      <c r="C391" t="s">
        <v>444</v>
      </c>
    </row>
    <row r="392" spans="3:3">
      <c r="C392" t="s">
        <v>445</v>
      </c>
    </row>
    <row r="394" spans="3:3">
      <c r="C394" t="s">
        <v>447</v>
      </c>
    </row>
    <row r="395" spans="3:3">
      <c r="C395" t="s">
        <v>448</v>
      </c>
    </row>
    <row r="396" spans="3:3">
      <c r="C396" t="s">
        <v>449</v>
      </c>
    </row>
    <row r="397" spans="3:3">
      <c r="C397" t="s">
        <v>450</v>
      </c>
    </row>
    <row r="399" spans="3:3">
      <c r="C399" t="s">
        <v>451</v>
      </c>
    </row>
    <row r="400" spans="3:3">
      <c r="C400" t="s">
        <v>452</v>
      </c>
    </row>
    <row r="402" spans="3:3">
      <c r="C402" s="13" t="s">
        <v>533</v>
      </c>
    </row>
    <row r="403" spans="3:3">
      <c r="C403" t="s">
        <v>508</v>
      </c>
    </row>
    <row r="404" spans="3:3">
      <c r="C404" t="s">
        <v>509</v>
      </c>
    </row>
    <row r="406" spans="3:3">
      <c r="C406" t="s">
        <v>453</v>
      </c>
    </row>
    <row r="407" spans="3:3">
      <c r="C407" t="s">
        <v>454</v>
      </c>
    </row>
    <row r="409" spans="3:3">
      <c r="C409" t="s">
        <v>455</v>
      </c>
    </row>
    <row r="410" spans="3:3">
      <c r="C410" t="s">
        <v>456</v>
      </c>
    </row>
    <row r="411" spans="3:3">
      <c r="C411" t="s">
        <v>457</v>
      </c>
    </row>
    <row r="413" spans="3:3">
      <c r="C413" t="s">
        <v>458</v>
      </c>
    </row>
    <row r="414" spans="3:3">
      <c r="C414" t="s">
        <v>459</v>
      </c>
    </row>
    <row r="415" spans="3:3">
      <c r="C415" t="s">
        <v>460</v>
      </c>
    </row>
    <row r="417" spans="3:3">
      <c r="C417" t="s">
        <v>510</v>
      </c>
    </row>
    <row r="418" spans="3:3">
      <c r="C418" t="s">
        <v>511</v>
      </c>
    </row>
    <row r="419" spans="3:3">
      <c r="C419" t="s">
        <v>461</v>
      </c>
    </row>
    <row r="421" spans="3:3">
      <c r="C421" t="s">
        <v>462</v>
      </c>
    </row>
    <row r="422" spans="3:3">
      <c r="C422" t="s">
        <v>512</v>
      </c>
    </row>
    <row r="424" spans="3:3">
      <c r="C424" t="s">
        <v>513</v>
      </c>
    </row>
    <row r="425" spans="3:3">
      <c r="C425" t="s">
        <v>514</v>
      </c>
    </row>
    <row r="426" spans="3:3">
      <c r="C426" t="s">
        <v>463</v>
      </c>
    </row>
    <row r="428" spans="3:3">
      <c r="C428" t="s">
        <v>464</v>
      </c>
    </row>
    <row r="429" spans="3:3">
      <c r="C429" t="s">
        <v>465</v>
      </c>
    </row>
    <row r="431" spans="3:3">
      <c r="C431" t="s">
        <v>515</v>
      </c>
    </row>
    <row r="432" spans="3:3">
      <c r="C432" t="s">
        <v>466</v>
      </c>
    </row>
    <row r="434" spans="2:16">
      <c r="C434" t="s">
        <v>516</v>
      </c>
    </row>
    <row r="435" spans="2:16">
      <c r="C435" t="s">
        <v>517</v>
      </c>
    </row>
    <row r="436" spans="2:16">
      <c r="C436" t="s">
        <v>518</v>
      </c>
    </row>
    <row r="437" spans="2:16">
      <c r="C437" t="s">
        <v>519</v>
      </c>
    </row>
    <row r="438" spans="2:16">
      <c r="C438" t="s">
        <v>520</v>
      </c>
    </row>
    <row r="441" spans="2:16" ht="30">
      <c r="B441" s="39"/>
      <c r="C441" s="22" t="s">
        <v>467</v>
      </c>
      <c r="D441" s="22"/>
      <c r="E441" s="22"/>
      <c r="F441" s="22"/>
      <c r="G441" s="22"/>
      <c r="H441" s="22"/>
      <c r="I441" s="22"/>
      <c r="J441" s="22"/>
      <c r="K441" s="22"/>
      <c r="L441" s="22"/>
      <c r="M441" s="22"/>
      <c r="N441" s="22"/>
      <c r="O441" s="22"/>
      <c r="P441" s="40"/>
    </row>
    <row r="442" spans="2:16">
      <c r="P442"/>
    </row>
    <row r="443" spans="2:16">
      <c r="C443" s="13"/>
    </row>
    <row r="459" spans="3:3">
      <c r="C459" t="s">
        <v>468</v>
      </c>
    </row>
    <row r="460" spans="3:3">
      <c r="C460" t="s">
        <v>469</v>
      </c>
    </row>
    <row r="461" spans="3:3">
      <c r="C461" t="s">
        <v>470</v>
      </c>
    </row>
    <row r="463" spans="3:3">
      <c r="C463" t="s">
        <v>521</v>
      </c>
    </row>
    <row r="464" spans="3:3">
      <c r="C464" t="s">
        <v>471</v>
      </c>
    </row>
    <row r="466" spans="3:3">
      <c r="C466" t="s">
        <v>472</v>
      </c>
    </row>
    <row r="467" spans="3:3">
      <c r="C467" t="s">
        <v>473</v>
      </c>
    </row>
    <row r="468" spans="3:3">
      <c r="C468" t="s">
        <v>474</v>
      </c>
    </row>
    <row r="470" spans="3:3">
      <c r="C470" t="s">
        <v>475</v>
      </c>
    </row>
    <row r="471" spans="3:3">
      <c r="C471" t="s">
        <v>476</v>
      </c>
    </row>
    <row r="473" spans="3:3">
      <c r="C473" t="s">
        <v>477</v>
      </c>
    </row>
    <row r="474" spans="3:3">
      <c r="C474" t="s">
        <v>522</v>
      </c>
    </row>
    <row r="475" spans="3:3">
      <c r="C475" t="s">
        <v>523</v>
      </c>
    </row>
    <row r="476" spans="3:3">
      <c r="C476" t="s">
        <v>524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0BE45A-9A7C-426D-A142-C7CC1614AC45}">
  <dimension ref="B2:AD94"/>
  <sheetViews>
    <sheetView showGridLines="0" tabSelected="1" topLeftCell="E20" workbookViewId="0">
      <selection activeCell="X29" sqref="X29"/>
    </sheetView>
  </sheetViews>
  <sheetFormatPr defaultRowHeight="17.399999999999999"/>
  <cols>
    <col min="1" max="1" width="4.59765625" customWidth="1"/>
    <col min="2" max="2" width="40.09765625" bestFit="1" customWidth="1"/>
    <col min="3" max="3" width="10.8984375" bestFit="1" customWidth="1"/>
  </cols>
  <sheetData>
    <row r="2" spans="2:8">
      <c r="B2" t="s">
        <v>7</v>
      </c>
    </row>
    <row r="4" spans="2:8">
      <c r="B4" s="6" t="s">
        <v>2</v>
      </c>
      <c r="C4" s="6">
        <v>2020</v>
      </c>
      <c r="D4" s="6">
        <v>2021</v>
      </c>
      <c r="E4" s="6">
        <v>2022</v>
      </c>
      <c r="F4" s="6">
        <v>2023</v>
      </c>
      <c r="H4" t="s">
        <v>50</v>
      </c>
    </row>
    <row r="5" spans="2:8">
      <c r="B5" s="7" t="s">
        <v>3</v>
      </c>
      <c r="C5" s="8">
        <v>2447</v>
      </c>
      <c r="D5" s="8">
        <v>2662</v>
      </c>
      <c r="E5" s="8">
        <v>2854</v>
      </c>
      <c r="F5" s="8">
        <v>3151</v>
      </c>
    </row>
    <row r="6" spans="2:8">
      <c r="B6" s="10" t="s">
        <v>4</v>
      </c>
      <c r="C6" s="9">
        <v>2020</v>
      </c>
      <c r="D6" s="9">
        <v>2126</v>
      </c>
      <c r="E6" s="9">
        <v>2315</v>
      </c>
      <c r="F6" s="9">
        <v>2573</v>
      </c>
    </row>
    <row r="7" spans="2:8">
      <c r="B7" s="11" t="s">
        <v>5</v>
      </c>
      <c r="C7" s="9">
        <v>1185</v>
      </c>
      <c r="D7" s="9">
        <v>1207</v>
      </c>
      <c r="E7" s="9">
        <v>1264</v>
      </c>
      <c r="F7" s="9">
        <v>1484</v>
      </c>
    </row>
    <row r="8" spans="2:8">
      <c r="B8" s="11" t="s">
        <v>8</v>
      </c>
      <c r="C8" s="9">
        <v>141</v>
      </c>
      <c r="D8" s="9">
        <v>141</v>
      </c>
      <c r="E8" s="9">
        <v>120</v>
      </c>
      <c r="F8" s="9">
        <v>94</v>
      </c>
    </row>
    <row r="9" spans="2:8">
      <c r="B9" s="11" t="s">
        <v>6</v>
      </c>
      <c r="C9" s="9">
        <v>557</v>
      </c>
      <c r="D9" s="9">
        <v>504</v>
      </c>
      <c r="E9" s="9">
        <v>616</v>
      </c>
      <c r="F9" s="9">
        <v>768</v>
      </c>
    </row>
    <row r="10" spans="2:8">
      <c r="B10" s="11" t="s">
        <v>9</v>
      </c>
      <c r="C10" s="9">
        <v>87</v>
      </c>
      <c r="D10" s="9">
        <v>204</v>
      </c>
      <c r="E10" s="9">
        <v>259</v>
      </c>
      <c r="F10" s="9">
        <v>156</v>
      </c>
    </row>
    <row r="11" spans="2:8">
      <c r="B11" s="10" t="s">
        <v>10</v>
      </c>
      <c r="C11" s="9">
        <v>427</v>
      </c>
      <c r="D11" s="9">
        <v>536</v>
      </c>
      <c r="E11" s="9">
        <v>540</v>
      </c>
      <c r="F11" s="9">
        <v>578</v>
      </c>
    </row>
    <row r="12" spans="2:8">
      <c r="B12" s="11" t="s">
        <v>11</v>
      </c>
      <c r="C12" s="9">
        <v>84</v>
      </c>
      <c r="D12" s="9">
        <v>85</v>
      </c>
      <c r="E12" s="9">
        <v>100</v>
      </c>
      <c r="F12" s="9">
        <v>109</v>
      </c>
    </row>
    <row r="13" spans="2:8">
      <c r="B13" s="11" t="s">
        <v>12</v>
      </c>
      <c r="C13" s="9">
        <v>15</v>
      </c>
      <c r="D13" s="9">
        <v>17</v>
      </c>
      <c r="E13" s="9">
        <v>19</v>
      </c>
      <c r="F13" s="9">
        <v>16</v>
      </c>
    </row>
    <row r="14" spans="2:8">
      <c r="B14" s="11" t="s">
        <v>13</v>
      </c>
      <c r="C14" s="9">
        <v>328</v>
      </c>
      <c r="D14" s="9">
        <v>434</v>
      </c>
      <c r="E14" s="9">
        <v>422</v>
      </c>
      <c r="F14" s="9">
        <v>453</v>
      </c>
    </row>
    <row r="15" spans="2:8">
      <c r="B15" s="7" t="s">
        <v>14</v>
      </c>
      <c r="C15" s="7">
        <v>572</v>
      </c>
      <c r="D15" s="7">
        <v>593</v>
      </c>
      <c r="E15" s="7">
        <v>588</v>
      </c>
      <c r="F15" s="7">
        <v>546</v>
      </c>
    </row>
    <row r="16" spans="2:8">
      <c r="B16" s="10" t="s">
        <v>15</v>
      </c>
      <c r="C16" s="9">
        <v>526</v>
      </c>
      <c r="D16" s="9">
        <v>541</v>
      </c>
      <c r="E16" s="9">
        <v>533</v>
      </c>
      <c r="F16" s="9">
        <v>479</v>
      </c>
    </row>
    <row r="17" spans="2:23">
      <c r="B17" s="11" t="s">
        <v>16</v>
      </c>
      <c r="C17" s="9">
        <v>115</v>
      </c>
      <c r="D17" s="9">
        <v>151</v>
      </c>
      <c r="E17" s="9">
        <v>149</v>
      </c>
      <c r="F17" s="9">
        <v>58</v>
      </c>
    </row>
    <row r="18" spans="2:23">
      <c r="B18" s="11" t="s">
        <v>17</v>
      </c>
      <c r="C18" s="9"/>
      <c r="D18" s="9"/>
      <c r="E18" s="9">
        <v>161</v>
      </c>
      <c r="F18" s="9">
        <v>165</v>
      </c>
    </row>
    <row r="19" spans="2:23">
      <c r="B19" s="11" t="s">
        <v>18</v>
      </c>
      <c r="C19" s="9">
        <v>157</v>
      </c>
      <c r="D19" s="9">
        <v>100</v>
      </c>
      <c r="E19" s="9">
        <v>83</v>
      </c>
      <c r="F19" s="9">
        <v>95</v>
      </c>
    </row>
    <row r="20" spans="2:23">
      <c r="B20" s="10" t="s">
        <v>19</v>
      </c>
      <c r="C20" s="9">
        <v>46</v>
      </c>
      <c r="D20" s="9">
        <v>52</v>
      </c>
      <c r="E20" s="9">
        <v>54</v>
      </c>
      <c r="F20" s="9">
        <v>67</v>
      </c>
    </row>
    <row r="21" spans="2:23">
      <c r="B21" s="11" t="s">
        <v>20</v>
      </c>
      <c r="C21" s="9">
        <v>21</v>
      </c>
      <c r="D21" s="9">
        <v>25</v>
      </c>
      <c r="E21" s="9">
        <v>23</v>
      </c>
      <c r="F21" s="9">
        <v>24</v>
      </c>
    </row>
    <row r="25" spans="2:23">
      <c r="B25" s="6" t="s">
        <v>21</v>
      </c>
      <c r="C25" s="6">
        <v>2003</v>
      </c>
      <c r="D25" s="6">
        <v>2004</v>
      </c>
      <c r="E25" s="6">
        <v>2005</v>
      </c>
      <c r="F25" s="6">
        <v>2006</v>
      </c>
      <c r="G25" s="6">
        <v>2007</v>
      </c>
      <c r="H25" s="6">
        <v>2008</v>
      </c>
      <c r="I25" s="6">
        <v>2009</v>
      </c>
      <c r="J25" s="6">
        <v>2010</v>
      </c>
      <c r="K25" s="6">
        <v>2011</v>
      </c>
      <c r="L25" s="6">
        <v>2012</v>
      </c>
      <c r="M25" s="6">
        <f>L25+1</f>
        <v>2013</v>
      </c>
      <c r="N25" s="6">
        <f t="shared" ref="N25:W25" si="0">M25+1</f>
        <v>2014</v>
      </c>
      <c r="O25" s="6">
        <f t="shared" si="0"/>
        <v>2015</v>
      </c>
      <c r="P25" s="6">
        <f t="shared" si="0"/>
        <v>2016</v>
      </c>
      <c r="Q25" s="6">
        <f t="shared" si="0"/>
        <v>2017</v>
      </c>
      <c r="R25" s="6">
        <f t="shared" si="0"/>
        <v>2018</v>
      </c>
      <c r="S25" s="6">
        <f t="shared" si="0"/>
        <v>2019</v>
      </c>
      <c r="T25" s="6">
        <f t="shared" si="0"/>
        <v>2020</v>
      </c>
      <c r="U25" s="6">
        <f t="shared" si="0"/>
        <v>2021</v>
      </c>
      <c r="V25" s="6">
        <f t="shared" si="0"/>
        <v>2022</v>
      </c>
      <c r="W25" s="6">
        <f t="shared" si="0"/>
        <v>2023</v>
      </c>
    </row>
    <row r="26" spans="2:23">
      <c r="B26" s="12" t="s">
        <v>22</v>
      </c>
      <c r="C26" s="15">
        <v>514.80999999999995</v>
      </c>
      <c r="D26" s="15">
        <v>514.99</v>
      </c>
      <c r="E26" s="15">
        <v>509.25</v>
      </c>
      <c r="F26" s="15">
        <v>966.53</v>
      </c>
      <c r="G26" s="15">
        <v>1672.42</v>
      </c>
      <c r="H26" s="15">
        <v>1838.62</v>
      </c>
      <c r="I26" s="15">
        <v>1434.37</v>
      </c>
      <c r="J26" s="15">
        <v>1014.35</v>
      </c>
      <c r="K26" s="15">
        <v>647.65</v>
      </c>
      <c r="L26" s="15">
        <v>635.41999999999996</v>
      </c>
      <c r="M26" s="15">
        <v>571.73</v>
      </c>
      <c r="N26" s="15">
        <v>549.78</v>
      </c>
      <c r="O26" s="15">
        <v>504.46</v>
      </c>
      <c r="P26" s="15">
        <v>489.1</v>
      </c>
      <c r="Q26" s="15">
        <v>1055.68</v>
      </c>
      <c r="R26" s="15">
        <v>1200.56</v>
      </c>
      <c r="S26" s="15">
        <v>1308.52</v>
      </c>
      <c r="T26" s="15">
        <v>1758.91</v>
      </c>
      <c r="U26" s="15">
        <v>1695.34</v>
      </c>
      <c r="V26" s="15">
        <v>1601.68</v>
      </c>
      <c r="W26" s="15">
        <v>1671.87</v>
      </c>
    </row>
    <row r="27" spans="2:23">
      <c r="B27" s="17" t="s">
        <v>24</v>
      </c>
      <c r="C27" s="16"/>
      <c r="D27" s="16">
        <f>D26/C26-1</f>
        <v>3.4964355781763601E-4</v>
      </c>
      <c r="E27" s="16">
        <f t="shared" ref="E27:W27" si="1">E26/D26-1</f>
        <v>-1.114584749218428E-2</v>
      </c>
      <c r="F27" s="16">
        <f t="shared" si="1"/>
        <v>0.89794796269023069</v>
      </c>
      <c r="G27" s="16">
        <f t="shared" si="1"/>
        <v>0.73033428864080796</v>
      </c>
      <c r="H27" s="16">
        <f t="shared" si="1"/>
        <v>9.9376950765955874E-2</v>
      </c>
      <c r="I27" s="16">
        <f t="shared" si="1"/>
        <v>-0.21986598644635647</v>
      </c>
      <c r="J27" s="16">
        <f t="shared" si="1"/>
        <v>-0.29282542161367009</v>
      </c>
      <c r="K27" s="16">
        <f t="shared" si="1"/>
        <v>-0.3615122985162913</v>
      </c>
      <c r="L27" s="16">
        <f t="shared" si="1"/>
        <v>-1.888365629583888E-2</v>
      </c>
      <c r="M27" s="16">
        <f t="shared" si="1"/>
        <v>-0.10023291681092816</v>
      </c>
      <c r="N27" s="16">
        <f t="shared" si="1"/>
        <v>-3.8392248089133107E-2</v>
      </c>
      <c r="O27" s="16">
        <f t="shared" si="1"/>
        <v>-8.2432973189275671E-2</v>
      </c>
      <c r="P27" s="16">
        <f t="shared" si="1"/>
        <v>-3.0448400269595166E-2</v>
      </c>
      <c r="Q27" s="16">
        <f t="shared" si="1"/>
        <v>1.1584134123901042</v>
      </c>
      <c r="R27" s="16">
        <f t="shared" si="1"/>
        <v>0.13723855713852662</v>
      </c>
      <c r="S27" s="16">
        <f t="shared" si="1"/>
        <v>8.9924701805824014E-2</v>
      </c>
      <c r="T27" s="16">
        <f t="shared" si="1"/>
        <v>0.34419802524990084</v>
      </c>
      <c r="U27" s="16">
        <f t="shared" si="1"/>
        <v>-3.6141701394613812E-2</v>
      </c>
      <c r="V27" s="16">
        <f t="shared" si="1"/>
        <v>-5.5245555463800722E-2</v>
      </c>
      <c r="W27" s="16">
        <f t="shared" si="1"/>
        <v>4.3822736127066442E-2</v>
      </c>
    </row>
    <row r="28" spans="2:23">
      <c r="B28" s="17" t="s">
        <v>220</v>
      </c>
      <c r="C28" s="14"/>
      <c r="D28" s="14"/>
      <c r="E28" s="14"/>
      <c r="F28" s="14"/>
      <c r="G28" s="14"/>
      <c r="H28" s="14"/>
      <c r="I28" s="14"/>
      <c r="J28" s="14"/>
      <c r="K28" s="18"/>
      <c r="L28" s="18"/>
      <c r="M28" s="18"/>
      <c r="N28" s="18"/>
      <c r="O28" s="18"/>
      <c r="P28" s="18"/>
      <c r="Q28" s="18">
        <f>SUM(C51:F51)</f>
        <v>663.89600999999993</v>
      </c>
      <c r="R28" s="18">
        <f>SUM(G51:J51)</f>
        <v>673.64286000000004</v>
      </c>
      <c r="S28" s="18">
        <f>SUM(K51:N51)</f>
        <v>654.64019999999994</v>
      </c>
      <c r="T28" s="18">
        <f>SUM(O51:R51)</f>
        <v>895.9000000000002</v>
      </c>
      <c r="U28" s="18">
        <f>SUM(S51:V51)</f>
        <v>793.37279999999998</v>
      </c>
      <c r="V28" s="18">
        <f>SUM(W51:Z51)</f>
        <v>704.47440000000006</v>
      </c>
      <c r="W28" s="18">
        <f>SUM(AA51:AD51)</f>
        <v>683.56079999999986</v>
      </c>
    </row>
    <row r="29" spans="2:23">
      <c r="B29" s="17" t="s">
        <v>271</v>
      </c>
      <c r="C29" s="14"/>
      <c r="D29" s="14"/>
      <c r="E29" s="14"/>
      <c r="F29" s="14"/>
      <c r="G29" s="14"/>
      <c r="H29" s="14"/>
      <c r="I29" s="14"/>
      <c r="J29" s="14"/>
      <c r="K29" s="18"/>
      <c r="L29" s="18"/>
      <c r="M29" s="18"/>
      <c r="N29" s="18"/>
      <c r="O29" s="18"/>
      <c r="P29" s="18"/>
      <c r="Q29" s="18">
        <f>SUM(C53:F53)</f>
        <v>350.73399000000001</v>
      </c>
      <c r="R29" s="18">
        <f t="shared" ref="R29:W29" si="2">SUM(D53:G53)</f>
        <v>370.89734999999996</v>
      </c>
      <c r="S29" s="18">
        <f t="shared" si="2"/>
        <v>386.88870999999995</v>
      </c>
      <c r="T29" s="18">
        <f t="shared" si="2"/>
        <v>458.71082999999999</v>
      </c>
      <c r="U29" s="18">
        <f t="shared" si="2"/>
        <v>478.95713999999992</v>
      </c>
      <c r="V29" s="18">
        <f t="shared" si="2"/>
        <v>482.39882999999986</v>
      </c>
      <c r="W29" s="18">
        <f t="shared" si="2"/>
        <v>521.06929999999988</v>
      </c>
    </row>
    <row r="30" spans="2:23">
      <c r="B30" s="17" t="s">
        <v>218</v>
      </c>
      <c r="C30" s="14"/>
      <c r="D30" s="14"/>
      <c r="E30" s="14"/>
      <c r="F30" s="14"/>
      <c r="G30" s="14"/>
      <c r="H30" s="14"/>
      <c r="I30" s="14"/>
      <c r="J30" s="14"/>
      <c r="K30" s="18"/>
      <c r="L30" s="18"/>
      <c r="M30" s="18"/>
      <c r="N30" s="18"/>
      <c r="O30" s="18"/>
      <c r="P30" s="18"/>
      <c r="Q30" s="18">
        <f>SUM(C55:F55)</f>
        <v>39.32</v>
      </c>
      <c r="R30" s="18">
        <f t="shared" ref="R30:W30" si="3">SUM(D55:G55)</f>
        <v>39.36</v>
      </c>
      <c r="S30" s="18">
        <f t="shared" si="3"/>
        <v>40.160000000000004</v>
      </c>
      <c r="T30" s="18">
        <f t="shared" si="3"/>
        <v>39.32</v>
      </c>
      <c r="U30" s="18">
        <f t="shared" si="3"/>
        <v>46</v>
      </c>
      <c r="V30" s="18">
        <f t="shared" si="3"/>
        <v>46.9</v>
      </c>
      <c r="W30" s="18">
        <f t="shared" si="3"/>
        <v>47.190000000000005</v>
      </c>
    </row>
    <row r="31" spans="2:23">
      <c r="B31" s="17" t="s">
        <v>219</v>
      </c>
      <c r="C31" s="14"/>
      <c r="D31" s="14"/>
      <c r="E31" s="14"/>
      <c r="F31" s="14"/>
      <c r="G31" s="14"/>
      <c r="H31" s="14"/>
      <c r="I31" s="14"/>
      <c r="J31" s="14"/>
      <c r="K31" s="18"/>
      <c r="L31" s="18"/>
      <c r="M31" s="18"/>
      <c r="N31" s="18"/>
      <c r="O31" s="18"/>
      <c r="P31" s="18"/>
      <c r="Q31" s="18">
        <f>SUM(C56:F56)</f>
        <v>1.73</v>
      </c>
      <c r="R31" s="18">
        <f t="shared" ref="R31" si="4">SUM(D56:G56)</f>
        <v>1.8800000000000001</v>
      </c>
      <c r="S31" s="18">
        <f t="shared" ref="S31" si="5">SUM(E56:H56)</f>
        <v>1.8900000000000001</v>
      </c>
      <c r="T31" s="18">
        <f t="shared" ref="T31" si="6">SUM(F56:I56)</f>
        <v>1.73</v>
      </c>
      <c r="U31" s="18">
        <f t="shared" ref="U31" si="7">SUM(G56:J56)</f>
        <v>1.95</v>
      </c>
      <c r="V31" s="18">
        <f t="shared" ref="V31" si="8">SUM(H56:K56)</f>
        <v>1.8849999999999998</v>
      </c>
      <c r="W31" s="18">
        <f t="shared" ref="W31" si="9">SUM(I56:L56)</f>
        <v>1.9499999999999997</v>
      </c>
    </row>
    <row r="32" spans="2:23">
      <c r="B32" s="12" t="s">
        <v>23</v>
      </c>
      <c r="C32" s="15">
        <v>207.57</v>
      </c>
      <c r="D32" s="15">
        <v>217.38</v>
      </c>
      <c r="E32" s="15">
        <v>215.12</v>
      </c>
      <c r="F32" s="15">
        <v>397.81</v>
      </c>
      <c r="G32" s="15">
        <v>700.06</v>
      </c>
      <c r="H32" s="15">
        <v>793.64</v>
      </c>
      <c r="I32" s="15">
        <v>575.23</v>
      </c>
      <c r="J32" s="15">
        <v>387.97</v>
      </c>
      <c r="K32" s="15">
        <v>153.66</v>
      </c>
      <c r="L32" s="15">
        <v>140.35</v>
      </c>
      <c r="M32" s="15">
        <v>163.22</v>
      </c>
      <c r="N32" s="15">
        <v>214.58</v>
      </c>
      <c r="O32" s="15">
        <v>220.97</v>
      </c>
      <c r="P32" s="15">
        <v>198.9</v>
      </c>
      <c r="Q32" s="15">
        <v>403.54</v>
      </c>
      <c r="R32" s="15">
        <v>501.19</v>
      </c>
      <c r="S32" s="15">
        <v>641.70000000000005</v>
      </c>
      <c r="T32" s="15">
        <v>970.47</v>
      </c>
      <c r="U32" s="15">
        <v>946.05</v>
      </c>
      <c r="V32" s="15">
        <v>885.44</v>
      </c>
      <c r="W32" s="15">
        <v>954.34</v>
      </c>
    </row>
    <row r="33" spans="2:30">
      <c r="B33" s="17" t="s">
        <v>25</v>
      </c>
      <c r="C33" s="16">
        <f t="shared" ref="C33:W33" si="10">C32/C26</f>
        <v>0.40319729608981958</v>
      </c>
      <c r="D33" s="16">
        <f t="shared" si="10"/>
        <v>0.42210528359773974</v>
      </c>
      <c r="E33" s="16">
        <f t="shared" si="10"/>
        <v>0.4224251350024546</v>
      </c>
      <c r="F33" s="16">
        <f t="shared" si="10"/>
        <v>0.41158577592004386</v>
      </c>
      <c r="G33" s="16">
        <f t="shared" si="10"/>
        <v>0.41859102378589103</v>
      </c>
      <c r="H33" s="16">
        <f t="shared" si="10"/>
        <v>0.43164982432476534</v>
      </c>
      <c r="I33" s="16">
        <f t="shared" si="10"/>
        <v>0.40103320621596944</v>
      </c>
      <c r="J33" s="16">
        <f t="shared" si="10"/>
        <v>0.3824813920244492</v>
      </c>
      <c r="K33" s="16">
        <f t="shared" si="10"/>
        <v>0.23725777812089863</v>
      </c>
      <c r="L33" s="16">
        <f t="shared" si="10"/>
        <v>0.22087752982279438</v>
      </c>
      <c r="M33" s="16">
        <f t="shared" si="10"/>
        <v>0.28548440697532051</v>
      </c>
      <c r="N33" s="16">
        <f t="shared" si="10"/>
        <v>0.39030157517552477</v>
      </c>
      <c r="O33" s="16">
        <f t="shared" si="10"/>
        <v>0.43803274788883162</v>
      </c>
      <c r="P33" s="16">
        <f t="shared" si="10"/>
        <v>0.40666530361889186</v>
      </c>
      <c r="Q33" s="16">
        <f t="shared" si="10"/>
        <v>0.38225598666262506</v>
      </c>
      <c r="R33" s="16">
        <f t="shared" si="10"/>
        <v>0.41746351702538814</v>
      </c>
      <c r="S33" s="16">
        <f t="shared" si="10"/>
        <v>0.49040136948613705</v>
      </c>
      <c r="T33" s="16">
        <f t="shared" si="10"/>
        <v>0.55174511487227884</v>
      </c>
      <c r="U33" s="16">
        <f t="shared" si="10"/>
        <v>0.55802965776776337</v>
      </c>
      <c r="V33" s="16">
        <f t="shared" si="10"/>
        <v>0.55281953948354234</v>
      </c>
      <c r="W33" s="16">
        <f t="shared" si="10"/>
        <v>0.57082189404678596</v>
      </c>
    </row>
    <row r="34" spans="2:30">
      <c r="B34" s="17" t="s">
        <v>24</v>
      </c>
      <c r="C34" s="16"/>
      <c r="D34" s="16">
        <f>D32/C32-1</f>
        <v>4.7261164908223741E-2</v>
      </c>
      <c r="E34" s="16">
        <f t="shared" ref="E34:W34" si="11">E32/D32-1</f>
        <v>-1.0396540620112193E-2</v>
      </c>
      <c r="F34" s="16">
        <f t="shared" si="11"/>
        <v>0.84924693194496093</v>
      </c>
      <c r="G34" s="16">
        <f t="shared" si="11"/>
        <v>0.75978482189990171</v>
      </c>
      <c r="H34" s="16">
        <f t="shared" si="11"/>
        <v>0.1336742564923008</v>
      </c>
      <c r="I34" s="16">
        <f t="shared" si="11"/>
        <v>-0.27520034272466098</v>
      </c>
      <c r="J34" s="16">
        <f t="shared" si="11"/>
        <v>-0.32553934947760022</v>
      </c>
      <c r="K34" s="16">
        <f t="shared" si="11"/>
        <v>-0.60393844884913783</v>
      </c>
      <c r="L34" s="16">
        <f t="shared" si="11"/>
        <v>-8.6619809970063799E-2</v>
      </c>
      <c r="M34" s="16">
        <f t="shared" si="11"/>
        <v>0.1629497684360528</v>
      </c>
      <c r="N34" s="16">
        <f t="shared" si="11"/>
        <v>0.31466732018135035</v>
      </c>
      <c r="O34" s="16">
        <f t="shared" si="11"/>
        <v>2.9779103364712345E-2</v>
      </c>
      <c r="P34" s="16">
        <f t="shared" si="11"/>
        <v>-9.9877811467619981E-2</v>
      </c>
      <c r="Q34" s="16">
        <f t="shared" si="11"/>
        <v>1.0288587229763699</v>
      </c>
      <c r="R34" s="16">
        <f t="shared" si="11"/>
        <v>0.24198344649848824</v>
      </c>
      <c r="S34" s="16">
        <f t="shared" si="11"/>
        <v>0.28035276043017632</v>
      </c>
      <c r="T34" s="16">
        <f t="shared" si="11"/>
        <v>0.51234221598877983</v>
      </c>
      <c r="U34" s="16">
        <f t="shared" si="11"/>
        <v>-2.516306531886614E-2</v>
      </c>
      <c r="V34" s="16">
        <f t="shared" si="11"/>
        <v>-6.4066381269488826E-2</v>
      </c>
      <c r="W34" s="16">
        <f t="shared" si="11"/>
        <v>7.7814419949403746E-2</v>
      </c>
    </row>
    <row r="35" spans="2:30">
      <c r="B35" s="12" t="s">
        <v>26</v>
      </c>
      <c r="C35" s="15">
        <v>174.23</v>
      </c>
      <c r="D35" s="15">
        <v>95.02</v>
      </c>
      <c r="E35" s="15">
        <v>136.35</v>
      </c>
      <c r="F35" s="15">
        <v>194.41</v>
      </c>
      <c r="G35" s="15">
        <v>440.81</v>
      </c>
      <c r="H35" s="15">
        <v>502.65</v>
      </c>
      <c r="I35" s="15">
        <v>355.58</v>
      </c>
      <c r="J35" s="15">
        <v>171.24</v>
      </c>
      <c r="K35" s="15">
        <v>-37.31</v>
      </c>
      <c r="L35" s="15">
        <v>-36.409999999999997</v>
      </c>
      <c r="M35" s="15">
        <v>-46.43</v>
      </c>
      <c r="N35" s="15">
        <v>24.77</v>
      </c>
      <c r="O35" s="15">
        <v>32.880000000000003</v>
      </c>
      <c r="P35" s="15">
        <v>29.36</v>
      </c>
      <c r="Q35" s="15">
        <v>77.56</v>
      </c>
      <c r="R35" s="15">
        <v>249.7</v>
      </c>
      <c r="S35" s="15">
        <v>352.37</v>
      </c>
      <c r="T35" s="15">
        <v>640.63</v>
      </c>
      <c r="U35" s="15">
        <v>592.76</v>
      </c>
      <c r="V35" s="15">
        <v>504.38</v>
      </c>
      <c r="W35" s="15">
        <v>528.94000000000005</v>
      </c>
    </row>
    <row r="36" spans="2:30">
      <c r="B36" s="17" t="s">
        <v>27</v>
      </c>
      <c r="C36" s="16">
        <f t="shared" ref="C36:W36" si="12">C35/C26</f>
        <v>0.33843553932518794</v>
      </c>
      <c r="D36" s="16">
        <f t="shared" si="12"/>
        <v>0.18450843705703021</v>
      </c>
      <c r="E36" s="16">
        <f t="shared" si="12"/>
        <v>0.26774668630338733</v>
      </c>
      <c r="F36" s="16">
        <f t="shared" si="12"/>
        <v>0.20114223045327098</v>
      </c>
      <c r="G36" s="16">
        <f t="shared" si="12"/>
        <v>0.26357613518135398</v>
      </c>
      <c r="H36" s="16">
        <f t="shared" si="12"/>
        <v>0.27338438611567373</v>
      </c>
      <c r="I36" s="16">
        <f t="shared" si="12"/>
        <v>0.24789977481402986</v>
      </c>
      <c r="J36" s="16">
        <f t="shared" si="12"/>
        <v>0.1688174693153251</v>
      </c>
      <c r="K36" s="16">
        <f t="shared" si="12"/>
        <v>-5.7608276075040536E-2</v>
      </c>
      <c r="L36" s="16">
        <f t="shared" si="12"/>
        <v>-5.7300683012810424E-2</v>
      </c>
      <c r="M36" s="16">
        <f t="shared" si="12"/>
        <v>-8.1209661903345984E-2</v>
      </c>
      <c r="N36" s="16">
        <f t="shared" si="12"/>
        <v>4.5054385390519848E-2</v>
      </c>
      <c r="O36" s="16">
        <f t="shared" si="12"/>
        <v>6.5178606827102262E-2</v>
      </c>
      <c r="P36" s="16">
        <f t="shared" si="12"/>
        <v>6.0028624003271309E-2</v>
      </c>
      <c r="Q36" s="16">
        <f t="shared" si="12"/>
        <v>7.3469233100939682E-2</v>
      </c>
      <c r="R36" s="16">
        <f t="shared" si="12"/>
        <v>0.20798627307256615</v>
      </c>
      <c r="S36" s="16">
        <f t="shared" si="12"/>
        <v>0.26928896768868649</v>
      </c>
      <c r="T36" s="16">
        <f t="shared" si="12"/>
        <v>0.3642198861795089</v>
      </c>
      <c r="U36" s="16">
        <f t="shared" si="12"/>
        <v>0.34964078002052684</v>
      </c>
      <c r="V36" s="16">
        <f t="shared" si="12"/>
        <v>0.31490684780979972</v>
      </c>
      <c r="W36" s="16">
        <f t="shared" si="12"/>
        <v>0.31637627327483603</v>
      </c>
    </row>
    <row r="37" spans="2:30">
      <c r="B37" s="17" t="s">
        <v>24</v>
      </c>
      <c r="C37" s="16"/>
      <c r="D37" s="16">
        <f>D35/C35-1</f>
        <v>-0.45462893875911148</v>
      </c>
      <c r="E37" s="16">
        <f t="shared" ref="E37:W37" si="13">E35/D35-1</f>
        <v>0.43496106082929908</v>
      </c>
      <c r="F37" s="16">
        <f t="shared" si="13"/>
        <v>0.42581591492482596</v>
      </c>
      <c r="G37" s="16">
        <f t="shared" si="13"/>
        <v>1.2674245151998353</v>
      </c>
      <c r="H37" s="16">
        <f t="shared" si="13"/>
        <v>0.14028719856627569</v>
      </c>
      <c r="I37" s="16">
        <f t="shared" si="13"/>
        <v>-0.29258927683278624</v>
      </c>
      <c r="J37" s="16">
        <f t="shared" si="13"/>
        <v>-0.51842060858315986</v>
      </c>
      <c r="K37" s="16">
        <f t="shared" si="13"/>
        <v>-1.2178813361364167</v>
      </c>
      <c r="L37" s="16">
        <f t="shared" si="13"/>
        <v>-2.4122219244170573E-2</v>
      </c>
      <c r="M37" s="16">
        <f t="shared" si="13"/>
        <v>0.27519912112057132</v>
      </c>
      <c r="N37" s="16">
        <f t="shared" si="13"/>
        <v>-1.533491277191471</v>
      </c>
      <c r="O37" s="16">
        <f t="shared" si="13"/>
        <v>0.32741219216794515</v>
      </c>
      <c r="P37" s="16">
        <f t="shared" si="13"/>
        <v>-0.1070559610705597</v>
      </c>
      <c r="Q37" s="16">
        <f t="shared" si="13"/>
        <v>1.641689373297003</v>
      </c>
      <c r="R37" s="16">
        <f t="shared" si="13"/>
        <v>2.2194430118617841</v>
      </c>
      <c r="S37" s="16">
        <f t="shared" si="13"/>
        <v>0.41117340808970781</v>
      </c>
      <c r="T37" s="16">
        <f t="shared" si="13"/>
        <v>0.8180605613417713</v>
      </c>
      <c r="U37" s="16">
        <f t="shared" si="13"/>
        <v>-7.4723319232630425E-2</v>
      </c>
      <c r="V37" s="16">
        <f t="shared" si="13"/>
        <v>-0.14909912949591742</v>
      </c>
      <c r="W37" s="16">
        <f t="shared" si="13"/>
        <v>4.8693445418137138E-2</v>
      </c>
    </row>
    <row r="38" spans="2:30">
      <c r="B38" s="12" t="s">
        <v>28</v>
      </c>
      <c r="C38" s="15">
        <v>33.19</v>
      </c>
      <c r="D38" s="15">
        <v>87.42</v>
      </c>
      <c r="E38" s="15">
        <v>98.38</v>
      </c>
      <c r="F38" s="15">
        <v>174.29</v>
      </c>
      <c r="G38" s="15">
        <v>257.33999999999997</v>
      </c>
      <c r="H38" s="15">
        <v>279.08999999999997</v>
      </c>
      <c r="I38" s="15">
        <v>228.64</v>
      </c>
      <c r="J38" s="15">
        <v>77.62</v>
      </c>
      <c r="K38" s="15">
        <v>-43.2</v>
      </c>
      <c r="L38" s="15">
        <v>7.1</v>
      </c>
      <c r="M38" s="15">
        <v>-23.22</v>
      </c>
      <c r="N38" s="15">
        <v>41.84</v>
      </c>
      <c r="O38" s="15">
        <v>16.510000000000002</v>
      </c>
      <c r="P38" s="15">
        <v>102.57</v>
      </c>
      <c r="Q38" s="15">
        <v>139.59</v>
      </c>
      <c r="R38" s="15">
        <v>194.01</v>
      </c>
      <c r="S38" s="15">
        <v>258.64</v>
      </c>
      <c r="T38" s="15">
        <v>480.38</v>
      </c>
      <c r="U38" s="15">
        <v>477.69</v>
      </c>
      <c r="V38" s="15">
        <v>432.77</v>
      </c>
      <c r="W38" s="15">
        <v>490.64</v>
      </c>
    </row>
    <row r="39" spans="2:30">
      <c r="Q39" s="49"/>
      <c r="R39" s="49"/>
      <c r="S39" s="49"/>
      <c r="T39" s="49"/>
      <c r="U39" s="49"/>
      <c r="V39" s="49"/>
      <c r="W39" s="49"/>
    </row>
    <row r="40" spans="2:30">
      <c r="Q40" s="49"/>
      <c r="R40" s="49"/>
      <c r="S40" s="49"/>
      <c r="T40" s="49"/>
      <c r="U40" s="49"/>
      <c r="V40" s="49"/>
      <c r="W40" s="49"/>
    </row>
    <row r="41" spans="2:30">
      <c r="B41" s="6" t="s">
        <v>29</v>
      </c>
      <c r="C41" s="6">
        <v>2003</v>
      </c>
      <c r="D41" s="6">
        <v>2004</v>
      </c>
      <c r="E41" s="6">
        <v>2005</v>
      </c>
      <c r="F41" s="6">
        <v>2006</v>
      </c>
      <c r="G41" s="6">
        <v>2007</v>
      </c>
      <c r="H41" s="6">
        <v>2008</v>
      </c>
      <c r="I41" s="6">
        <v>2009</v>
      </c>
      <c r="J41" s="6">
        <v>2010</v>
      </c>
      <c r="K41" s="6">
        <v>2011</v>
      </c>
      <c r="L41" s="6">
        <v>2012</v>
      </c>
      <c r="M41" s="6">
        <f t="shared" ref="M41:W41" si="14">L41+1</f>
        <v>2013</v>
      </c>
      <c r="N41" s="6">
        <f t="shared" si="14"/>
        <v>2014</v>
      </c>
      <c r="O41" s="6">
        <f t="shared" si="14"/>
        <v>2015</v>
      </c>
      <c r="P41" s="6">
        <f t="shared" si="14"/>
        <v>2016</v>
      </c>
      <c r="Q41" s="6">
        <f t="shared" si="14"/>
        <v>2017</v>
      </c>
      <c r="R41" s="6">
        <f t="shared" si="14"/>
        <v>2018</v>
      </c>
      <c r="S41" s="6">
        <f t="shared" si="14"/>
        <v>2019</v>
      </c>
      <c r="T41" s="6">
        <f t="shared" si="14"/>
        <v>2020</v>
      </c>
      <c r="U41" s="6">
        <f t="shared" si="14"/>
        <v>2021</v>
      </c>
      <c r="V41" s="6">
        <f t="shared" si="14"/>
        <v>2022</v>
      </c>
      <c r="W41" s="6">
        <f t="shared" si="14"/>
        <v>2023</v>
      </c>
    </row>
    <row r="42" spans="2:30">
      <c r="B42" s="18" t="s">
        <v>30</v>
      </c>
      <c r="C42" s="18">
        <v>120.07</v>
      </c>
      <c r="D42" s="18">
        <v>116.57</v>
      </c>
      <c r="E42" s="18">
        <v>46.38</v>
      </c>
      <c r="F42" s="18">
        <v>274.63</v>
      </c>
      <c r="G42" s="18">
        <v>332.38</v>
      </c>
      <c r="H42" s="18">
        <v>287.8</v>
      </c>
      <c r="I42" s="18">
        <v>160.34</v>
      </c>
      <c r="J42" s="18">
        <v>78.099999999999994</v>
      </c>
      <c r="K42" s="18">
        <v>-94.96</v>
      </c>
      <c r="L42" s="18">
        <v>-40.39</v>
      </c>
      <c r="M42" s="18">
        <v>-23.11</v>
      </c>
      <c r="N42" s="18">
        <v>60.29</v>
      </c>
      <c r="O42" s="18">
        <v>55.19</v>
      </c>
      <c r="P42" s="18">
        <v>19.100000000000001</v>
      </c>
      <c r="Q42" s="18">
        <v>152.21</v>
      </c>
      <c r="R42" s="18">
        <v>170.53</v>
      </c>
      <c r="S42" s="18">
        <v>347.75</v>
      </c>
      <c r="T42" s="18">
        <v>612.11</v>
      </c>
      <c r="U42" s="18">
        <v>289.66000000000003</v>
      </c>
      <c r="V42" s="18">
        <v>322.83999999999997</v>
      </c>
      <c r="W42" s="18">
        <v>462.1</v>
      </c>
    </row>
    <row r="43" spans="2:30">
      <c r="B43" s="18" t="s">
        <v>31</v>
      </c>
      <c r="C43" s="18">
        <v>-67.03</v>
      </c>
      <c r="D43" s="18">
        <v>-11.72</v>
      </c>
      <c r="E43" s="18">
        <v>-208.81</v>
      </c>
      <c r="F43" s="18">
        <v>-174.6</v>
      </c>
      <c r="G43" s="18">
        <v>233.21</v>
      </c>
      <c r="H43" s="18">
        <v>-174.35</v>
      </c>
      <c r="I43" s="18">
        <v>-12.73</v>
      </c>
      <c r="J43" s="18">
        <v>-154.04</v>
      </c>
      <c r="K43" s="18">
        <v>-164.39</v>
      </c>
      <c r="L43" s="18">
        <v>89.1</v>
      </c>
      <c r="M43" s="18">
        <v>-20.079999999999998</v>
      </c>
      <c r="N43" s="18">
        <v>-105.39</v>
      </c>
      <c r="O43" s="18">
        <v>-71.739999999999995</v>
      </c>
      <c r="P43" s="18">
        <v>69.52</v>
      </c>
      <c r="Q43" s="18">
        <v>61.39</v>
      </c>
      <c r="R43" s="18">
        <v>45.35</v>
      </c>
      <c r="S43" s="18">
        <v>-188.43</v>
      </c>
      <c r="T43" s="18">
        <v>-136.53</v>
      </c>
      <c r="U43" s="18">
        <v>93.7</v>
      </c>
      <c r="V43" s="18">
        <v>111.51</v>
      </c>
      <c r="W43" s="18">
        <v>-630.63</v>
      </c>
    </row>
    <row r="44" spans="2:30">
      <c r="B44" s="18" t="s">
        <v>32</v>
      </c>
      <c r="C44" s="18">
        <v>-24.09</v>
      </c>
      <c r="D44" s="18">
        <v>-61.45</v>
      </c>
      <c r="E44" s="18">
        <v>-60.17</v>
      </c>
      <c r="F44" s="18">
        <v>-50.14</v>
      </c>
      <c r="G44" s="18">
        <v>-97.84</v>
      </c>
      <c r="H44" s="18">
        <v>-227.65</v>
      </c>
      <c r="I44" s="18">
        <v>-133.85</v>
      </c>
      <c r="J44" s="18">
        <v>-102.46</v>
      </c>
      <c r="K44" s="18">
        <v>-39.82</v>
      </c>
      <c r="L44" s="18">
        <v>-12.87</v>
      </c>
      <c r="M44" s="18">
        <v>-127.16</v>
      </c>
      <c r="N44" s="18">
        <v>-11.92</v>
      </c>
      <c r="O44" s="18">
        <v>-3</v>
      </c>
      <c r="P44" s="18">
        <v>-14.44</v>
      </c>
      <c r="Q44" s="18">
        <v>-61.31</v>
      </c>
      <c r="R44" s="18">
        <v>-109.04</v>
      </c>
      <c r="S44" s="18">
        <v>-111.03</v>
      </c>
      <c r="T44" s="18">
        <v>-194.94</v>
      </c>
      <c r="U44" s="18">
        <v>-337.01</v>
      </c>
      <c r="V44" s="18">
        <v>-290.97000000000003</v>
      </c>
      <c r="W44" s="18">
        <v>-236.96</v>
      </c>
    </row>
    <row r="46" spans="2:30">
      <c r="C46" t="s">
        <v>51</v>
      </c>
    </row>
    <row r="47" spans="2:30">
      <c r="B47" s="19" t="s">
        <v>33</v>
      </c>
      <c r="C47" s="20" t="s">
        <v>221</v>
      </c>
      <c r="D47" s="20" t="s">
        <v>222</v>
      </c>
      <c r="E47" s="20" t="s">
        <v>223</v>
      </c>
      <c r="F47" s="20" t="s">
        <v>224</v>
      </c>
      <c r="G47" s="20" t="s">
        <v>225</v>
      </c>
      <c r="H47" s="20" t="s">
        <v>226</v>
      </c>
      <c r="I47" s="20" t="s">
        <v>227</v>
      </c>
      <c r="J47" s="20" t="s">
        <v>228</v>
      </c>
      <c r="K47" s="20" t="s">
        <v>229</v>
      </c>
      <c r="L47" s="20" t="s">
        <v>230</v>
      </c>
      <c r="M47" s="20" t="s">
        <v>231</v>
      </c>
      <c r="N47" s="20" t="s">
        <v>232</v>
      </c>
      <c r="O47" s="20" t="s">
        <v>34</v>
      </c>
      <c r="P47" s="20" t="s">
        <v>35</v>
      </c>
      <c r="Q47" s="20" t="s">
        <v>36</v>
      </c>
      <c r="R47" s="20" t="s">
        <v>37</v>
      </c>
      <c r="S47" s="20" t="s">
        <v>38</v>
      </c>
      <c r="T47" s="20" t="s">
        <v>39</v>
      </c>
      <c r="U47" s="20" t="s">
        <v>40</v>
      </c>
      <c r="V47" s="20" t="s">
        <v>41</v>
      </c>
      <c r="W47" s="20" t="s">
        <v>42</v>
      </c>
      <c r="X47" s="20" t="s">
        <v>43</v>
      </c>
      <c r="Y47" s="20" t="s">
        <v>44</v>
      </c>
      <c r="Z47" s="20" t="s">
        <v>45</v>
      </c>
      <c r="AA47" s="20" t="s">
        <v>46</v>
      </c>
      <c r="AB47" s="20" t="s">
        <v>47</v>
      </c>
      <c r="AC47" s="19" t="s">
        <v>48</v>
      </c>
      <c r="AD47" s="20" t="s">
        <v>49</v>
      </c>
    </row>
    <row r="48" spans="2:30">
      <c r="B48" s="12" t="s">
        <v>22</v>
      </c>
      <c r="C48" s="21">
        <v>154.07</v>
      </c>
      <c r="D48" s="21">
        <v>219.97</v>
      </c>
      <c r="E48" s="21">
        <v>482.97</v>
      </c>
      <c r="F48" s="21">
        <v>198.67</v>
      </c>
      <c r="G48" s="21">
        <v>168.16</v>
      </c>
      <c r="H48" s="21">
        <v>220.75</v>
      </c>
      <c r="I48" s="21">
        <v>608.39</v>
      </c>
      <c r="J48" s="21">
        <v>203.27</v>
      </c>
      <c r="K48" s="21">
        <v>172.11</v>
      </c>
      <c r="L48" s="21">
        <v>271.86</v>
      </c>
      <c r="M48" s="21">
        <v>578.70000000000005</v>
      </c>
      <c r="N48" s="21">
        <v>285.85000000000002</v>
      </c>
      <c r="O48" s="21">
        <v>358.11</v>
      </c>
      <c r="P48" s="21">
        <v>411.42</v>
      </c>
      <c r="Q48" s="21">
        <v>634.94000000000005</v>
      </c>
      <c r="R48" s="21">
        <v>354.45</v>
      </c>
      <c r="S48" s="21">
        <v>322.64999999999998</v>
      </c>
      <c r="T48" s="21">
        <v>301.63</v>
      </c>
      <c r="U48" s="21">
        <v>695.95</v>
      </c>
      <c r="V48" s="21">
        <v>375.13</v>
      </c>
      <c r="W48" s="21">
        <v>307.45999999999998</v>
      </c>
      <c r="X48" s="21">
        <v>349.51</v>
      </c>
      <c r="Y48" s="21">
        <v>638.20000000000005</v>
      </c>
      <c r="Z48" s="21">
        <v>306.5</v>
      </c>
      <c r="AA48" s="21">
        <v>461.34</v>
      </c>
      <c r="AB48" s="21">
        <v>334.9</v>
      </c>
      <c r="AC48" s="21">
        <v>598.55999999999995</v>
      </c>
      <c r="AD48" s="21">
        <f>W26-1394.8</f>
        <v>277.06999999999994</v>
      </c>
    </row>
    <row r="49" spans="2:30">
      <c r="B49" s="41" t="s">
        <v>52</v>
      </c>
      <c r="C49" s="42"/>
      <c r="D49" s="42">
        <f>D48/C48-1</f>
        <v>0.42772765626014153</v>
      </c>
      <c r="E49" s="42">
        <f t="shared" ref="E49:AD49" si="15">E48/D48-1</f>
        <v>1.1956175842160297</v>
      </c>
      <c r="F49" s="42">
        <f t="shared" si="15"/>
        <v>-0.58864939851336529</v>
      </c>
      <c r="G49" s="42">
        <f t="shared" si="15"/>
        <v>-0.1535712488045502</v>
      </c>
      <c r="H49" s="42">
        <f t="shared" si="15"/>
        <v>0.31273786869647946</v>
      </c>
      <c r="I49" s="42">
        <f t="shared" si="15"/>
        <v>1.7560135900339748</v>
      </c>
      <c r="J49" s="42">
        <f t="shared" si="15"/>
        <v>-0.66588865694702415</v>
      </c>
      <c r="K49" s="42">
        <f t="shared" si="15"/>
        <v>-0.15329364884144236</v>
      </c>
      <c r="L49" s="42">
        <f t="shared" si="15"/>
        <v>0.57957120446226251</v>
      </c>
      <c r="M49" s="42">
        <f t="shared" si="15"/>
        <v>1.1286691679540941</v>
      </c>
      <c r="N49" s="42">
        <f t="shared" si="15"/>
        <v>-0.50604803870744774</v>
      </c>
      <c r="O49" s="42">
        <f t="shared" si="15"/>
        <v>0.25278992478572682</v>
      </c>
      <c r="P49" s="42">
        <f t="shared" si="15"/>
        <v>0.14886487392142089</v>
      </c>
      <c r="Q49" s="42">
        <f t="shared" si="15"/>
        <v>0.54328909630061739</v>
      </c>
      <c r="R49" s="42">
        <f t="shared" si="15"/>
        <v>-0.4417582763725707</v>
      </c>
      <c r="S49" s="42">
        <f t="shared" si="15"/>
        <v>-8.9716462124418195E-2</v>
      </c>
      <c r="T49" s="42">
        <f t="shared" si="15"/>
        <v>-6.5147993181465913E-2</v>
      </c>
      <c r="U49" s="42">
        <f t="shared" si="15"/>
        <v>1.3072970195272355</v>
      </c>
      <c r="V49" s="42">
        <f t="shared" si="15"/>
        <v>-0.46098139234140389</v>
      </c>
      <c r="W49" s="42">
        <f t="shared" si="15"/>
        <v>-0.18039079785674306</v>
      </c>
      <c r="X49" s="42">
        <f t="shared" si="15"/>
        <v>0.13676575814740133</v>
      </c>
      <c r="Y49" s="42">
        <f t="shared" si="15"/>
        <v>0.82598495035907438</v>
      </c>
      <c r="Z49" s="42">
        <f t="shared" si="15"/>
        <v>-0.51974302726418053</v>
      </c>
      <c r="AA49" s="42">
        <f t="shared" si="15"/>
        <v>0.50518760195758561</v>
      </c>
      <c r="AB49" s="42">
        <f t="shared" si="15"/>
        <v>-0.27407118394242858</v>
      </c>
      <c r="AC49" s="42">
        <f t="shared" si="15"/>
        <v>0.78727978501045093</v>
      </c>
      <c r="AD49" s="42">
        <f t="shared" si="15"/>
        <v>-0.53710572039561622</v>
      </c>
    </row>
    <row r="50" spans="2:30">
      <c r="B50" s="17" t="s">
        <v>272</v>
      </c>
      <c r="C50" s="18">
        <v>144.62</v>
      </c>
      <c r="D50" s="18">
        <f>355.28-C50</f>
        <v>210.65999999999997</v>
      </c>
      <c r="E50" s="18">
        <f>826.54-D50-C50</f>
        <v>471.26</v>
      </c>
      <c r="F50" s="18">
        <f>1014.63-D50-E50-C50</f>
        <v>188.09000000000003</v>
      </c>
      <c r="G50" s="18">
        <v>158.52000000000001</v>
      </c>
      <c r="H50" s="18">
        <f>369.13-G50</f>
        <v>210.60999999999999</v>
      </c>
      <c r="I50" s="18">
        <f>962.34-H50-G50</f>
        <v>593.21</v>
      </c>
      <c r="J50" s="18">
        <f>1152.6-I50-H50-G50</f>
        <v>190.25999999999985</v>
      </c>
      <c r="K50" s="18">
        <v>161.63</v>
      </c>
      <c r="L50" s="18">
        <f>422.96-K50</f>
        <v>261.33</v>
      </c>
      <c r="M50" s="18">
        <f>983.53-L50-K50</f>
        <v>560.57000000000005</v>
      </c>
      <c r="N50" s="18">
        <f>1254.16-M50-L50-K50</f>
        <v>270.63000000000005</v>
      </c>
      <c r="O50" s="18">
        <v>344.5</v>
      </c>
      <c r="P50" s="18">
        <f>741.9-O50</f>
        <v>397.4</v>
      </c>
      <c r="Q50" s="18">
        <f>1361-P50-O50</f>
        <v>619.1</v>
      </c>
      <c r="R50" s="18">
        <f>1700-Q50-P50-O50</f>
        <v>339.00000000000011</v>
      </c>
      <c r="S50" s="18">
        <v>308.89999999999998</v>
      </c>
      <c r="T50" s="18">
        <f>597.4-S50</f>
        <v>288.5</v>
      </c>
      <c r="U50" s="18">
        <f>1278.2-T50-S50</f>
        <v>680.80000000000007</v>
      </c>
      <c r="V50" s="18">
        <f>1639.2-U50-T50-S50</f>
        <v>361</v>
      </c>
      <c r="W50" s="18">
        <v>295.60000000000002</v>
      </c>
      <c r="X50" s="18">
        <f>641.4-W50</f>
        <v>345.79999999999995</v>
      </c>
      <c r="Y50" s="18">
        <f>1242.1-X50-W50</f>
        <v>600.69999999999993</v>
      </c>
      <c r="Z50" s="18">
        <f>1544.9-Y50-X50-W50</f>
        <v>302.80000000000018</v>
      </c>
      <c r="AA50" s="18">
        <v>427.4</v>
      </c>
      <c r="AB50" s="18">
        <f>736.7-AA50</f>
        <v>309.30000000000007</v>
      </c>
      <c r="AC50" s="18">
        <f>1310.9-AB50-AA50</f>
        <v>574.20000000000005</v>
      </c>
      <c r="AD50" s="18">
        <f>1567.8-AC50-AB50-AA50</f>
        <v>256.89999999999986</v>
      </c>
    </row>
    <row r="51" spans="2:30">
      <c r="B51" s="26" t="s">
        <v>220</v>
      </c>
      <c r="C51" s="18">
        <f>C50*0.61</f>
        <v>88.218199999999996</v>
      </c>
      <c r="D51" s="18">
        <f>D50*0.7</f>
        <v>147.46199999999996</v>
      </c>
      <c r="E51" s="18">
        <f>E50*0.664</f>
        <v>312.91664000000003</v>
      </c>
      <c r="F51" s="18">
        <f>F50*0.613</f>
        <v>115.29917000000002</v>
      </c>
      <c r="G51" s="18">
        <f>G50*0.517</f>
        <v>81.954840000000004</v>
      </c>
      <c r="H51" s="18">
        <f>H50*0.624</f>
        <v>131.42063999999999</v>
      </c>
      <c r="I51" s="18">
        <f>I50*0.612</f>
        <v>363.04452000000003</v>
      </c>
      <c r="J51" s="18">
        <f>J50*0.511</f>
        <v>97.222859999999926</v>
      </c>
      <c r="K51" s="18">
        <f>K50*0.505</f>
        <v>81.623149999999995</v>
      </c>
      <c r="L51" s="18">
        <f>L50*0.549</f>
        <v>143.47017</v>
      </c>
      <c r="M51" s="18">
        <f>M50*0.574</f>
        <v>321.76718</v>
      </c>
      <c r="N51" s="18">
        <f>1254.1*0.522-M51-L51-K51</f>
        <v>107.77969999999995</v>
      </c>
      <c r="O51" s="18">
        <f>O50*0.472</f>
        <v>162.60399999999998</v>
      </c>
      <c r="P51" s="18">
        <f>741.9*0.511-O51</f>
        <v>216.50690000000003</v>
      </c>
      <c r="Q51" s="18">
        <f>1361*0.54-P51-O51</f>
        <v>355.82909999999998</v>
      </c>
      <c r="R51" s="18">
        <f>1700*0.527-Q51-P51-O51</f>
        <v>160.96000000000015</v>
      </c>
      <c r="S51" s="18">
        <f>S50*0.476</f>
        <v>147.03639999999999</v>
      </c>
      <c r="T51" s="18">
        <f>597.4*0.465-S51</f>
        <v>130.75460000000001</v>
      </c>
      <c r="U51" s="18">
        <f>1278.2*0.504-T51-S51</f>
        <v>366.42180000000008</v>
      </c>
      <c r="V51" s="18">
        <f>1639.2*0.484-U51-T51-S51</f>
        <v>149.15999999999994</v>
      </c>
      <c r="W51" s="18">
        <f>W50*0.438</f>
        <v>129.47280000000001</v>
      </c>
      <c r="X51" s="18">
        <f>631.4*0.417-W51</f>
        <v>133.82099999999997</v>
      </c>
      <c r="Y51" s="18">
        <f>1252.1*0.462-X51-W51</f>
        <v>315.1764</v>
      </c>
      <c r="Z51" s="18">
        <f>1544.9*0.456-Y51-X51-W51</f>
        <v>126.00420000000008</v>
      </c>
      <c r="AA51" s="18">
        <f>AA50*0.409</f>
        <v>174.80659999999997</v>
      </c>
      <c r="AB51" s="18">
        <f>736.7*0.411-AA51</f>
        <v>127.97710000000004</v>
      </c>
      <c r="AC51" s="18">
        <f>1310.9*0.45-AB51-AA51</f>
        <v>287.12130000000002</v>
      </c>
      <c r="AD51" s="18">
        <f>1567.8*0.436-AC51-AB51-AA51</f>
        <v>93.655799999999914</v>
      </c>
    </row>
    <row r="52" spans="2:30">
      <c r="B52" s="43" t="s">
        <v>278</v>
      </c>
      <c r="C52" s="44"/>
      <c r="D52" s="42">
        <f>D51/C51-1</f>
        <v>0.67155983685906051</v>
      </c>
      <c r="E52" s="42">
        <f t="shared" ref="E52:AD52" si="16">E51/D51-1</f>
        <v>1.1220154344848172</v>
      </c>
      <c r="F52" s="42">
        <f t="shared" si="16"/>
        <v>-0.63153391267399517</v>
      </c>
      <c r="G52" s="42">
        <f t="shared" si="16"/>
        <v>-0.28919835242526037</v>
      </c>
      <c r="H52" s="42">
        <f t="shared" si="16"/>
        <v>0.60357387068292723</v>
      </c>
      <c r="I52" s="42">
        <f t="shared" si="16"/>
        <v>1.7624619694440695</v>
      </c>
      <c r="J52" s="42">
        <f t="shared" si="16"/>
        <v>-0.7322012738272432</v>
      </c>
      <c r="K52" s="42">
        <f t="shared" si="16"/>
        <v>-0.16045310742761465</v>
      </c>
      <c r="L52" s="42">
        <f t="shared" si="16"/>
        <v>0.75771420240458753</v>
      </c>
      <c r="M52" s="42">
        <f t="shared" si="16"/>
        <v>1.2427462098915756</v>
      </c>
      <c r="N52" s="42">
        <f t="shared" si="16"/>
        <v>-0.66503824286864821</v>
      </c>
      <c r="O52" s="42">
        <f t="shared" si="16"/>
        <v>0.50867000000927876</v>
      </c>
      <c r="P52" s="42">
        <f t="shared" si="16"/>
        <v>0.33149799512927136</v>
      </c>
      <c r="Q52" s="42">
        <f t="shared" si="16"/>
        <v>0.64350004549508544</v>
      </c>
      <c r="R52" s="42">
        <f t="shared" si="16"/>
        <v>-0.5476480141730955</v>
      </c>
      <c r="S52" s="42">
        <f t="shared" si="16"/>
        <v>-8.6503479125249472E-2</v>
      </c>
      <c r="T52" s="42">
        <f t="shared" si="16"/>
        <v>-0.11073312458683682</v>
      </c>
      <c r="U52" s="42">
        <f t="shared" si="16"/>
        <v>1.8023625937443124</v>
      </c>
      <c r="V52" s="42">
        <f t="shared" si="16"/>
        <v>-0.59292815001727539</v>
      </c>
      <c r="W52" s="42">
        <f t="shared" si="16"/>
        <v>-0.13198712791633105</v>
      </c>
      <c r="X52" s="42">
        <f t="shared" si="16"/>
        <v>3.3583887889965691E-2</v>
      </c>
      <c r="Y52" s="42">
        <f t="shared" si="16"/>
        <v>1.3552088237272182</v>
      </c>
      <c r="Z52" s="42">
        <f t="shared" si="16"/>
        <v>-0.6002105487593612</v>
      </c>
      <c r="AA52" s="42">
        <f t="shared" si="16"/>
        <v>0.38730772466314511</v>
      </c>
      <c r="AB52" s="42">
        <f t="shared" si="16"/>
        <v>-0.26789320311704445</v>
      </c>
      <c r="AC52" s="42">
        <f t="shared" si="16"/>
        <v>1.2435365389589226</v>
      </c>
      <c r="AD52" s="42">
        <f t="shared" si="16"/>
        <v>-0.67381103387314034</v>
      </c>
    </row>
    <row r="53" spans="2:30">
      <c r="B53" s="26" t="s">
        <v>271</v>
      </c>
      <c r="C53" s="18">
        <f t="shared" ref="C53:AD53" si="17">C50-C51</f>
        <v>56.401800000000009</v>
      </c>
      <c r="D53" s="18">
        <f t="shared" si="17"/>
        <v>63.198000000000008</v>
      </c>
      <c r="E53" s="18">
        <f t="shared" si="17"/>
        <v>158.34335999999996</v>
      </c>
      <c r="F53" s="18">
        <f t="shared" si="17"/>
        <v>72.790830000000014</v>
      </c>
      <c r="G53" s="18">
        <f t="shared" si="17"/>
        <v>76.565160000000006</v>
      </c>
      <c r="H53" s="18">
        <f t="shared" si="17"/>
        <v>79.189359999999994</v>
      </c>
      <c r="I53" s="18">
        <f t="shared" si="17"/>
        <v>230.16548</v>
      </c>
      <c r="J53" s="18">
        <f t="shared" si="17"/>
        <v>93.037139999999923</v>
      </c>
      <c r="K53" s="18">
        <f t="shared" si="17"/>
        <v>80.00685</v>
      </c>
      <c r="L53" s="18">
        <f t="shared" si="17"/>
        <v>117.85982999999999</v>
      </c>
      <c r="M53" s="18">
        <f t="shared" si="17"/>
        <v>238.80282000000005</v>
      </c>
      <c r="N53" s="18">
        <f t="shared" si="17"/>
        <v>162.85030000000012</v>
      </c>
      <c r="O53" s="18">
        <f t="shared" si="17"/>
        <v>181.89600000000002</v>
      </c>
      <c r="P53" s="18">
        <f t="shared" si="17"/>
        <v>180.89309999999995</v>
      </c>
      <c r="Q53" s="18">
        <f t="shared" si="17"/>
        <v>263.27090000000004</v>
      </c>
      <c r="R53" s="18">
        <f t="shared" si="17"/>
        <v>178.03999999999996</v>
      </c>
      <c r="S53" s="18">
        <f t="shared" si="17"/>
        <v>161.86359999999999</v>
      </c>
      <c r="T53" s="18">
        <f t="shared" si="17"/>
        <v>157.74539999999999</v>
      </c>
      <c r="U53" s="18">
        <f t="shared" si="17"/>
        <v>314.37819999999999</v>
      </c>
      <c r="V53" s="18">
        <f t="shared" si="17"/>
        <v>211.84000000000006</v>
      </c>
      <c r="W53" s="18">
        <f t="shared" si="17"/>
        <v>166.12720000000002</v>
      </c>
      <c r="X53" s="18">
        <f t="shared" si="17"/>
        <v>211.97899999999998</v>
      </c>
      <c r="Y53" s="18">
        <f t="shared" si="17"/>
        <v>285.52359999999993</v>
      </c>
      <c r="Z53" s="18">
        <f t="shared" si="17"/>
        <v>176.7958000000001</v>
      </c>
      <c r="AA53" s="18">
        <f t="shared" si="17"/>
        <v>252.5934</v>
      </c>
      <c r="AB53" s="18">
        <f t="shared" si="17"/>
        <v>181.32290000000003</v>
      </c>
      <c r="AC53" s="18">
        <f t="shared" si="17"/>
        <v>287.07870000000003</v>
      </c>
      <c r="AD53" s="18">
        <f t="shared" si="17"/>
        <v>163.24419999999995</v>
      </c>
    </row>
    <row r="54" spans="2:30">
      <c r="B54" s="43" t="s">
        <v>278</v>
      </c>
      <c r="C54" s="44"/>
      <c r="D54" s="42">
        <f t="shared" ref="D54:AD54" si="18">D53/C53-1</f>
        <v>0.12049615437805183</v>
      </c>
      <c r="E54" s="42">
        <f t="shared" si="18"/>
        <v>1.5055121997531558</v>
      </c>
      <c r="F54" s="42">
        <f t="shared" si="18"/>
        <v>-0.54029755336756757</v>
      </c>
      <c r="G54" s="42">
        <f t="shared" si="18"/>
        <v>5.1851723630572666E-2</v>
      </c>
      <c r="H54" s="42">
        <f t="shared" si="18"/>
        <v>3.4274074526847276E-2</v>
      </c>
      <c r="I54" s="42">
        <f t="shared" si="18"/>
        <v>1.9065202698948447</v>
      </c>
      <c r="J54" s="42">
        <f t="shared" si="18"/>
        <v>-0.59578152205969404</v>
      </c>
      <c r="K54" s="42">
        <f t="shared" si="18"/>
        <v>-0.14005471363371591</v>
      </c>
      <c r="L54" s="42">
        <f t="shared" si="18"/>
        <v>0.47312173895110221</v>
      </c>
      <c r="M54" s="42">
        <f t="shared" si="18"/>
        <v>1.0261595490168287</v>
      </c>
      <c r="N54" s="42">
        <f t="shared" si="18"/>
        <v>-0.3180553730479394</v>
      </c>
      <c r="O54" s="42">
        <f t="shared" si="18"/>
        <v>0.11695219474572593</v>
      </c>
      <c r="P54" s="42">
        <f t="shared" si="18"/>
        <v>-5.5135901834019174E-3</v>
      </c>
      <c r="Q54" s="42">
        <f t="shared" si="18"/>
        <v>0.45539492661688108</v>
      </c>
      <c r="R54" s="42">
        <f t="shared" si="18"/>
        <v>-0.3237384002561623</v>
      </c>
      <c r="S54" s="42">
        <f t="shared" si="18"/>
        <v>-9.0858234104695401E-2</v>
      </c>
      <c r="T54" s="42">
        <f t="shared" si="18"/>
        <v>-2.5442409534941812E-2</v>
      </c>
      <c r="U54" s="42">
        <f t="shared" si="18"/>
        <v>0.99294686247586306</v>
      </c>
      <c r="V54" s="42">
        <f t="shared" si="18"/>
        <v>-0.32616192853066761</v>
      </c>
      <c r="W54" s="42">
        <f t="shared" si="18"/>
        <v>-0.21578927492447142</v>
      </c>
      <c r="X54" s="42">
        <f t="shared" si="18"/>
        <v>0.27600417029842172</v>
      </c>
      <c r="Y54" s="42">
        <f t="shared" si="18"/>
        <v>0.34694285754720955</v>
      </c>
      <c r="Z54" s="42">
        <f t="shared" si="18"/>
        <v>-0.38080144688565098</v>
      </c>
      <c r="AA54" s="42">
        <f t="shared" si="18"/>
        <v>0.42872964176750727</v>
      </c>
      <c r="AB54" s="42">
        <f t="shared" si="18"/>
        <v>-0.28215503651322626</v>
      </c>
      <c r="AC54" s="42">
        <f t="shared" si="18"/>
        <v>0.58324569042299657</v>
      </c>
      <c r="AD54" s="42">
        <f t="shared" si="18"/>
        <v>-0.43136080802929677</v>
      </c>
    </row>
    <row r="55" spans="2:30">
      <c r="B55" s="17" t="s">
        <v>218</v>
      </c>
      <c r="C55" s="18">
        <v>9.06</v>
      </c>
      <c r="D55" s="18">
        <f>17.93-C55</f>
        <v>8.8699999999999992</v>
      </c>
      <c r="E55" s="18">
        <f>33.38-D55-C55</f>
        <v>15.450000000000005</v>
      </c>
      <c r="F55" s="18">
        <f>39.32-E55-D55-C55</f>
        <v>5.9399999999999977</v>
      </c>
      <c r="G55" s="18">
        <v>9.1</v>
      </c>
      <c r="H55" s="18">
        <f>18.77-G55</f>
        <v>9.67</v>
      </c>
      <c r="I55" s="18">
        <f>33.38-H55-G55</f>
        <v>14.610000000000001</v>
      </c>
      <c r="J55" s="18">
        <f>46-I55-H55-G55</f>
        <v>12.62</v>
      </c>
      <c r="K55" s="18">
        <v>10</v>
      </c>
      <c r="L55" s="18">
        <f>19.96-K55</f>
        <v>9.9600000000000009</v>
      </c>
      <c r="M55" s="18">
        <f>36.91-L55-K55</f>
        <v>16.949999999999996</v>
      </c>
      <c r="N55" s="18">
        <f>51.3-L55-M55-K55</f>
        <v>14.39</v>
      </c>
      <c r="O55" s="18">
        <v>13.2</v>
      </c>
      <c r="P55" s="18">
        <f>26.7-O55</f>
        <v>13.5</v>
      </c>
      <c r="Q55" s="18">
        <f>42-P55-O55</f>
        <v>15.3</v>
      </c>
      <c r="R55" s="18">
        <f>57-Q55-P55-O55</f>
        <v>15.000000000000004</v>
      </c>
      <c r="S55" s="18">
        <v>13.1</v>
      </c>
      <c r="T55" s="18">
        <f>25.5-S55</f>
        <v>12.4</v>
      </c>
      <c r="U55" s="18">
        <f>39.8-T55-S55</f>
        <v>14.299999999999999</v>
      </c>
      <c r="V55" s="18">
        <f>53.3-U55-T55-S55</f>
        <v>13.500000000000002</v>
      </c>
      <c r="W55" s="18">
        <v>10.9</v>
      </c>
      <c r="X55" s="18">
        <f>23.5-W55</f>
        <v>12.6</v>
      </c>
      <c r="Y55" s="18">
        <f>38.9-X55-W55</f>
        <v>15.399999999999997</v>
      </c>
      <c r="Z55" s="18">
        <f>51-Y55-X55-W55</f>
        <v>12.1</v>
      </c>
      <c r="AA55" s="18">
        <v>31.8</v>
      </c>
      <c r="AB55" s="18">
        <f>55-AA55</f>
        <v>23.2</v>
      </c>
      <c r="AC55" s="18">
        <f>75.2-AB55-AA55</f>
        <v>20.2</v>
      </c>
      <c r="AD55" s="18">
        <f>92.7-AC55-AB55-AA55</f>
        <v>17.499999999999996</v>
      </c>
    </row>
    <row r="56" spans="2:30">
      <c r="B56" s="17" t="s">
        <v>219</v>
      </c>
      <c r="C56" s="18">
        <v>0.39</v>
      </c>
      <c r="D56" s="18">
        <f>0.84-C56</f>
        <v>0.44999999999999996</v>
      </c>
      <c r="E56" s="18">
        <f>1.57-D56-C56</f>
        <v>0.73000000000000009</v>
      </c>
      <c r="F56" s="18">
        <f>1.73-E56-D56-C56</f>
        <v>0.15999999999999992</v>
      </c>
      <c r="G56" s="18">
        <v>0.54</v>
      </c>
      <c r="H56" s="18">
        <f>1-G56</f>
        <v>0.45999999999999996</v>
      </c>
      <c r="I56" s="18">
        <f>1.57-H56-G56</f>
        <v>0.57000000000000006</v>
      </c>
      <c r="J56" s="18">
        <f>1.95-I56-H56-G56</f>
        <v>0.37999999999999989</v>
      </c>
      <c r="K56" s="18">
        <v>0.47499999999999998</v>
      </c>
      <c r="L56" s="18">
        <f>1-K56</f>
        <v>0.52500000000000002</v>
      </c>
      <c r="M56" s="18">
        <f>2.23-L56-K56</f>
        <v>1.23</v>
      </c>
      <c r="N56" s="18">
        <f>3.06-M56-L56-K56</f>
        <v>0.83000000000000018</v>
      </c>
      <c r="O56" s="18">
        <v>0.2</v>
      </c>
      <c r="P56" s="18">
        <f>0.8-O56</f>
        <v>0.60000000000000009</v>
      </c>
      <c r="Q56" s="18">
        <f>1.3-P56-O56</f>
        <v>0.49999999999999994</v>
      </c>
      <c r="R56" s="18">
        <f>1.7-Q56-P56-O56</f>
        <v>0.39999999999999986</v>
      </c>
      <c r="S56" s="18">
        <v>0.5</v>
      </c>
      <c r="T56" s="18">
        <f>1.3-S56</f>
        <v>0.8</v>
      </c>
      <c r="U56" s="18">
        <f>2.1-T56-S56</f>
        <v>0.8</v>
      </c>
      <c r="V56" s="18">
        <f>2.7-U56-T56-S56</f>
        <v>0.60000000000000009</v>
      </c>
      <c r="W56" s="18">
        <v>0.8</v>
      </c>
      <c r="X56" s="18">
        <f>1.9-W56</f>
        <v>1.0999999999999999</v>
      </c>
      <c r="Y56" s="18">
        <f>4.1-X56-W56</f>
        <v>2.2000000000000002</v>
      </c>
      <c r="Z56" s="18">
        <f>5.6-Y56-X56-W56</f>
        <v>1.4999999999999998</v>
      </c>
      <c r="AA56" s="18">
        <v>1.9</v>
      </c>
      <c r="AB56" s="18">
        <f>4.4-AA56</f>
        <v>2.5000000000000004</v>
      </c>
      <c r="AC56" s="18">
        <f>8.5-AB56-AA56</f>
        <v>4.0999999999999996</v>
      </c>
      <c r="AD56" s="18">
        <f>11.2-AC56-AB56-AA56</f>
        <v>2.6999999999999997</v>
      </c>
    </row>
    <row r="57" spans="2:30">
      <c r="B57" s="27" t="s">
        <v>233</v>
      </c>
      <c r="C57" s="14"/>
      <c r="D57" s="14"/>
      <c r="E57" s="14"/>
      <c r="F57" s="14"/>
      <c r="G57" s="14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14"/>
    </row>
    <row r="58" spans="2:30">
      <c r="B58" s="17" t="s">
        <v>272</v>
      </c>
      <c r="C58" s="16">
        <f t="shared" ref="C58:AD58" si="19">C50/C$48</f>
        <v>0.93866424352567024</v>
      </c>
      <c r="D58" s="16">
        <f t="shared" si="19"/>
        <v>0.95767604673364537</v>
      </c>
      <c r="E58" s="16">
        <f t="shared" si="19"/>
        <v>0.97575418763070165</v>
      </c>
      <c r="F58" s="16">
        <f t="shared" si="19"/>
        <v>0.94674585996879268</v>
      </c>
      <c r="G58" s="16">
        <f t="shared" si="19"/>
        <v>0.94267364414843013</v>
      </c>
      <c r="H58" s="16">
        <f t="shared" si="19"/>
        <v>0.95406568516421286</v>
      </c>
      <c r="I58" s="16">
        <f t="shared" si="19"/>
        <v>0.97504889955456209</v>
      </c>
      <c r="J58" s="16">
        <f t="shared" si="19"/>
        <v>0.93599645791311969</v>
      </c>
      <c r="K58" s="16">
        <f t="shared" si="19"/>
        <v>0.93910870954622039</v>
      </c>
      <c r="L58" s="16">
        <f t="shared" si="19"/>
        <v>0.9612668285146766</v>
      </c>
      <c r="M58" s="16">
        <f t="shared" si="19"/>
        <v>0.96867115949542082</v>
      </c>
      <c r="N58" s="16">
        <f t="shared" si="19"/>
        <v>0.94675529123666269</v>
      </c>
      <c r="O58" s="16">
        <f t="shared" si="19"/>
        <v>0.96199491776269852</v>
      </c>
      <c r="P58" s="16">
        <f t="shared" si="19"/>
        <v>0.96592290117155211</v>
      </c>
      <c r="Q58" s="16">
        <f t="shared" si="19"/>
        <v>0.97505276089079274</v>
      </c>
      <c r="R58" s="16">
        <f t="shared" si="19"/>
        <v>0.95641134151502361</v>
      </c>
      <c r="S58" s="16">
        <f t="shared" si="19"/>
        <v>0.95738416240508295</v>
      </c>
      <c r="T58" s="16">
        <f t="shared" si="19"/>
        <v>0.95646984716374372</v>
      </c>
      <c r="U58" s="16">
        <f t="shared" si="19"/>
        <v>0.97823119476973919</v>
      </c>
      <c r="V58" s="16">
        <f t="shared" si="19"/>
        <v>0.96233305787327061</v>
      </c>
      <c r="W58" s="16">
        <f t="shared" si="19"/>
        <v>0.96142587653678546</v>
      </c>
      <c r="X58" s="16">
        <f t="shared" si="19"/>
        <v>0.9893851391948727</v>
      </c>
      <c r="Y58" s="16">
        <f t="shared" si="19"/>
        <v>0.94124099028517694</v>
      </c>
      <c r="Z58" s="16">
        <f t="shared" si="19"/>
        <v>0.98792822185970697</v>
      </c>
      <c r="AA58" s="16">
        <f t="shared" si="19"/>
        <v>0.92643169896388777</v>
      </c>
      <c r="AB58" s="16">
        <f t="shared" si="19"/>
        <v>0.92355927142430605</v>
      </c>
      <c r="AC58" s="16">
        <f t="shared" si="19"/>
        <v>0.9593023255813955</v>
      </c>
      <c r="AD58" s="16">
        <f t="shared" si="19"/>
        <v>0.92720251200057724</v>
      </c>
    </row>
    <row r="59" spans="2:30">
      <c r="B59" s="26" t="s">
        <v>220</v>
      </c>
      <c r="C59" s="16">
        <f t="shared" ref="C59:AD59" si="20">C51/C$48</f>
        <v>0.57258518855065876</v>
      </c>
      <c r="D59" s="16">
        <f t="shared" si="20"/>
        <v>0.67037323271355165</v>
      </c>
      <c r="E59" s="16">
        <f t="shared" si="20"/>
        <v>0.64790078058678591</v>
      </c>
      <c r="F59" s="16">
        <f t="shared" si="20"/>
        <v>0.58035521216086994</v>
      </c>
      <c r="G59" s="16">
        <f t="shared" si="20"/>
        <v>0.48736227402473836</v>
      </c>
      <c r="H59" s="16">
        <f t="shared" si="20"/>
        <v>0.59533698754246878</v>
      </c>
      <c r="I59" s="16">
        <f t="shared" si="20"/>
        <v>0.59672992652739199</v>
      </c>
      <c r="J59" s="16">
        <f t="shared" si="20"/>
        <v>0.47829418999360418</v>
      </c>
      <c r="K59" s="16">
        <f t="shared" si="20"/>
        <v>0.47424989832084125</v>
      </c>
      <c r="L59" s="16">
        <f t="shared" si="20"/>
        <v>0.52773548885455746</v>
      </c>
      <c r="M59" s="16">
        <f t="shared" si="20"/>
        <v>0.55601724555037146</v>
      </c>
      <c r="N59" s="16">
        <f t="shared" si="20"/>
        <v>0.37704985132062252</v>
      </c>
      <c r="O59" s="16">
        <f t="shared" si="20"/>
        <v>0.45406160118399369</v>
      </c>
      <c r="P59" s="16">
        <f t="shared" si="20"/>
        <v>0.5262430120071947</v>
      </c>
      <c r="Q59" s="16">
        <f t="shared" si="20"/>
        <v>0.56041373988093357</v>
      </c>
      <c r="R59" s="16">
        <f t="shared" si="20"/>
        <v>0.45411200451403627</v>
      </c>
      <c r="S59" s="16">
        <f t="shared" si="20"/>
        <v>0.45571486130481947</v>
      </c>
      <c r="T59" s="16">
        <f t="shared" si="20"/>
        <v>0.43349335278321127</v>
      </c>
      <c r="U59" s="16">
        <f t="shared" si="20"/>
        <v>0.52650592714993905</v>
      </c>
      <c r="V59" s="16">
        <f t="shared" si="20"/>
        <v>0.39762215765201381</v>
      </c>
      <c r="W59" s="16">
        <f t="shared" si="20"/>
        <v>0.42110453392311198</v>
      </c>
      <c r="X59" s="16">
        <f t="shared" si="20"/>
        <v>0.38288174873394171</v>
      </c>
      <c r="Y59" s="16">
        <f t="shared" si="20"/>
        <v>0.49385208398621117</v>
      </c>
      <c r="Z59" s="16">
        <f t="shared" si="20"/>
        <v>0.41110668841761855</v>
      </c>
      <c r="AA59" s="16">
        <f t="shared" si="20"/>
        <v>0.37891056487623009</v>
      </c>
      <c r="AB59" s="16">
        <f t="shared" si="20"/>
        <v>0.38213526425798761</v>
      </c>
      <c r="AC59" s="16">
        <f t="shared" si="20"/>
        <v>0.4796867481956697</v>
      </c>
      <c r="AD59" s="16">
        <f t="shared" si="20"/>
        <v>0.33802216046486422</v>
      </c>
    </row>
    <row r="60" spans="2:30">
      <c r="B60" s="26" t="s">
        <v>271</v>
      </c>
      <c r="C60" s="16">
        <f t="shared" ref="C60:AD60" si="21">C53/C$48</f>
        <v>0.36607905497501142</v>
      </c>
      <c r="D60" s="16">
        <f t="shared" si="21"/>
        <v>0.28730281402009367</v>
      </c>
      <c r="E60" s="16">
        <f t="shared" si="21"/>
        <v>0.32785340704391569</v>
      </c>
      <c r="F60" s="16">
        <f t="shared" si="21"/>
        <v>0.3663906478079228</v>
      </c>
      <c r="G60" s="16">
        <f t="shared" si="21"/>
        <v>0.45531137012369177</v>
      </c>
      <c r="H60" s="16">
        <f t="shared" si="21"/>
        <v>0.35872869762174403</v>
      </c>
      <c r="I60" s="16">
        <f t="shared" si="21"/>
        <v>0.3783189730271701</v>
      </c>
      <c r="J60" s="16">
        <f t="shared" si="21"/>
        <v>0.45770226791951552</v>
      </c>
      <c r="K60" s="16">
        <f t="shared" si="21"/>
        <v>0.46485881122537909</v>
      </c>
      <c r="L60" s="16">
        <f t="shared" si="21"/>
        <v>0.43353133966011909</v>
      </c>
      <c r="M60" s="16">
        <f t="shared" si="21"/>
        <v>0.4126539139450493</v>
      </c>
      <c r="N60" s="16">
        <f t="shared" si="21"/>
        <v>0.56970543991604028</v>
      </c>
      <c r="O60" s="16">
        <f t="shared" si="21"/>
        <v>0.50793331657870489</v>
      </c>
      <c r="P60" s="16">
        <f t="shared" si="21"/>
        <v>0.43967988916435746</v>
      </c>
      <c r="Q60" s="16">
        <f t="shared" si="21"/>
        <v>0.41463902100985922</v>
      </c>
      <c r="R60" s="16">
        <f t="shared" si="21"/>
        <v>0.50229933700098739</v>
      </c>
      <c r="S60" s="16">
        <f t="shared" si="21"/>
        <v>0.50166930110026342</v>
      </c>
      <c r="T60" s="16">
        <f t="shared" si="21"/>
        <v>0.5229764943805324</v>
      </c>
      <c r="U60" s="16">
        <f t="shared" si="21"/>
        <v>0.45172526761980025</v>
      </c>
      <c r="V60" s="16">
        <f t="shared" si="21"/>
        <v>0.56471090022125681</v>
      </c>
      <c r="W60" s="16">
        <f t="shared" si="21"/>
        <v>0.54032134261367337</v>
      </c>
      <c r="X60" s="16">
        <f t="shared" si="21"/>
        <v>0.60650339046093094</v>
      </c>
      <c r="Y60" s="16">
        <f t="shared" si="21"/>
        <v>0.44738890629896572</v>
      </c>
      <c r="Z60" s="16">
        <f t="shared" si="21"/>
        <v>0.57682153344208842</v>
      </c>
      <c r="AA60" s="16">
        <f t="shared" si="21"/>
        <v>0.54752113408765768</v>
      </c>
      <c r="AB60" s="16">
        <f t="shared" si="21"/>
        <v>0.54142400716631844</v>
      </c>
      <c r="AC60" s="16">
        <f t="shared" si="21"/>
        <v>0.47961557738572586</v>
      </c>
      <c r="AD60" s="16">
        <f t="shared" si="21"/>
        <v>0.58918035153571291</v>
      </c>
    </row>
    <row r="61" spans="2:30">
      <c r="B61" s="17" t="s">
        <v>218</v>
      </c>
      <c r="C61" s="16">
        <f t="shared" ref="C61:AD61" si="22">C55/C$48</f>
        <v>5.8804439540468621E-2</v>
      </c>
      <c r="D61" s="16">
        <f t="shared" si="22"/>
        <v>4.0323680501886616E-2</v>
      </c>
      <c r="E61" s="16">
        <f t="shared" si="22"/>
        <v>3.1989564569227913E-2</v>
      </c>
      <c r="F61" s="16">
        <f t="shared" si="22"/>
        <v>2.989882720088588E-2</v>
      </c>
      <c r="G61" s="16">
        <f t="shared" si="22"/>
        <v>5.4115128449096099E-2</v>
      </c>
      <c r="H61" s="16">
        <f t="shared" si="22"/>
        <v>4.3805209513023781E-2</v>
      </c>
      <c r="I61" s="16">
        <f t="shared" si="22"/>
        <v>2.4014201416854324E-2</v>
      </c>
      <c r="J61" s="16">
        <f t="shared" si="22"/>
        <v>6.2084911693806262E-2</v>
      </c>
      <c r="K61" s="16">
        <f t="shared" si="22"/>
        <v>5.8102376387194232E-2</v>
      </c>
      <c r="L61" s="16">
        <f t="shared" si="22"/>
        <v>3.6636504082983891E-2</v>
      </c>
      <c r="M61" s="16">
        <f t="shared" si="22"/>
        <v>2.9289787454639699E-2</v>
      </c>
      <c r="N61" s="16">
        <f t="shared" si="22"/>
        <v>5.0341087983207973E-2</v>
      </c>
      <c r="O61" s="16">
        <f t="shared" si="22"/>
        <v>3.686018262545028E-2</v>
      </c>
      <c r="P61" s="16">
        <f t="shared" si="22"/>
        <v>3.2813183607991833E-2</v>
      </c>
      <c r="Q61" s="16">
        <f t="shared" si="22"/>
        <v>2.4096765048666015E-2</v>
      </c>
      <c r="R61" s="16">
        <f t="shared" si="22"/>
        <v>4.2319085907744407E-2</v>
      </c>
      <c r="S61" s="16">
        <f t="shared" si="22"/>
        <v>4.0601270726793738E-2</v>
      </c>
      <c r="T61" s="16">
        <f t="shared" si="22"/>
        <v>4.1109969167523124E-2</v>
      </c>
      <c r="U61" s="16">
        <f t="shared" si="22"/>
        <v>2.0547453121632298E-2</v>
      </c>
      <c r="V61" s="16">
        <f t="shared" si="22"/>
        <v>3.5987524324900703E-2</v>
      </c>
      <c r="W61" s="16">
        <f t="shared" si="22"/>
        <v>3.5451766083392962E-2</v>
      </c>
      <c r="X61" s="16">
        <f t="shared" si="22"/>
        <v>3.6050470658922494E-2</v>
      </c>
      <c r="Y61" s="16">
        <f t="shared" si="22"/>
        <v>2.4130366656220613E-2</v>
      </c>
      <c r="Z61" s="16">
        <f t="shared" si="22"/>
        <v>3.9477977161500817E-2</v>
      </c>
      <c r="AA61" s="16">
        <f t="shared" si="22"/>
        <v>6.8929639745090393E-2</v>
      </c>
      <c r="AB61" s="16">
        <f t="shared" si="22"/>
        <v>6.9274410271722903E-2</v>
      </c>
      <c r="AC61" s="16">
        <f t="shared" si="22"/>
        <v>3.3747661053194336E-2</v>
      </c>
      <c r="AD61" s="16">
        <f t="shared" si="22"/>
        <v>6.3160934059984838E-2</v>
      </c>
    </row>
    <row r="62" spans="2:30">
      <c r="B62" s="17" t="s">
        <v>219</v>
      </c>
      <c r="C62" s="16">
        <f t="shared" ref="C62:AD62" si="23">C56/C$48</f>
        <v>2.5313169338612323E-3</v>
      </c>
      <c r="D62" s="16">
        <f t="shared" si="23"/>
        <v>2.0457335091148793E-3</v>
      </c>
      <c r="E62" s="16">
        <f t="shared" si="23"/>
        <v>1.511481044371286E-3</v>
      </c>
      <c r="F62" s="16">
        <f t="shared" si="23"/>
        <v>8.0535561483867683E-4</v>
      </c>
      <c r="G62" s="16">
        <f t="shared" si="23"/>
        <v>3.2112274024738347E-3</v>
      </c>
      <c r="H62" s="16">
        <f t="shared" si="23"/>
        <v>2.0838052095130235E-3</v>
      </c>
      <c r="I62" s="16">
        <f t="shared" si="23"/>
        <v>9.3689902858363886E-4</v>
      </c>
      <c r="J62" s="16">
        <f t="shared" si="23"/>
        <v>1.8694347419688094E-3</v>
      </c>
      <c r="K62" s="16">
        <f t="shared" si="23"/>
        <v>2.7598628783917258E-3</v>
      </c>
      <c r="L62" s="16">
        <f t="shared" si="23"/>
        <v>1.9311410284705362E-3</v>
      </c>
      <c r="M62" s="16">
        <f t="shared" si="23"/>
        <v>2.1254536029030584E-3</v>
      </c>
      <c r="N62" s="16">
        <f t="shared" si="23"/>
        <v>2.9036207801294389E-3</v>
      </c>
      <c r="O62" s="16">
        <f t="shared" si="23"/>
        <v>5.5848761553712548E-4</v>
      </c>
      <c r="P62" s="16">
        <f t="shared" si="23"/>
        <v>1.4583637159107483E-3</v>
      </c>
      <c r="Q62" s="16">
        <f t="shared" si="23"/>
        <v>7.8747598198254936E-4</v>
      </c>
      <c r="R62" s="16">
        <f t="shared" si="23"/>
        <v>1.12850895753985E-3</v>
      </c>
      <c r="S62" s="16">
        <f t="shared" si="23"/>
        <v>1.5496668216333489E-3</v>
      </c>
      <c r="T62" s="16">
        <f t="shared" si="23"/>
        <v>2.6522560753240729E-3</v>
      </c>
      <c r="U62" s="16">
        <f t="shared" si="23"/>
        <v>1.1495078669444645E-3</v>
      </c>
      <c r="V62" s="16">
        <f t="shared" si="23"/>
        <v>1.5994455255511424E-3</v>
      </c>
      <c r="W62" s="16">
        <f t="shared" si="23"/>
        <v>2.6019644831848047E-3</v>
      </c>
      <c r="X62" s="16">
        <f t="shared" si="23"/>
        <v>3.1472633114932331E-3</v>
      </c>
      <c r="Y62" s="16">
        <f t="shared" si="23"/>
        <v>3.4471952366029457E-3</v>
      </c>
      <c r="Z62" s="16">
        <f t="shared" si="23"/>
        <v>4.8939641109298528E-3</v>
      </c>
      <c r="AA62" s="16">
        <f t="shared" si="23"/>
        <v>4.1184375948324446E-3</v>
      </c>
      <c r="AB62" s="16">
        <f t="shared" si="23"/>
        <v>7.4649148999701423E-3</v>
      </c>
      <c r="AC62" s="16">
        <f t="shared" si="23"/>
        <v>6.8497727880245923E-3</v>
      </c>
      <c r="AD62" s="16">
        <f t="shared" si="23"/>
        <v>9.7448298263976621E-3</v>
      </c>
    </row>
    <row r="63" spans="2:30">
      <c r="B63" s="12" t="s">
        <v>23</v>
      </c>
      <c r="C63" s="21">
        <v>58.83</v>
      </c>
      <c r="D63" s="21">
        <v>64.73</v>
      </c>
      <c r="E63" s="21">
        <v>78.989999999999995</v>
      </c>
      <c r="F63" s="21">
        <v>182.59</v>
      </c>
      <c r="G63" s="21">
        <v>77.239999999999995</v>
      </c>
      <c r="H63" s="21">
        <v>82.91</v>
      </c>
      <c r="I63" s="21">
        <v>89.11</v>
      </c>
      <c r="J63" s="21">
        <v>237.06</v>
      </c>
      <c r="K63" s="21">
        <v>92.12</v>
      </c>
      <c r="L63" s="21">
        <v>83.42</v>
      </c>
      <c r="M63" s="21">
        <v>129.69</v>
      </c>
      <c r="N63" s="21">
        <v>252.99</v>
      </c>
      <c r="O63" s="21">
        <v>211.55</v>
      </c>
      <c r="P63" s="21">
        <v>222.52</v>
      </c>
      <c r="Q63" s="21">
        <v>334.75</v>
      </c>
      <c r="R63" s="21">
        <v>201.66</v>
      </c>
      <c r="S63" s="21">
        <v>192.87</v>
      </c>
      <c r="T63" s="21">
        <v>179.86</v>
      </c>
      <c r="U63" s="21">
        <v>361.31</v>
      </c>
      <c r="V63" s="21">
        <v>212.01</v>
      </c>
      <c r="W63" s="21">
        <v>184.6</v>
      </c>
      <c r="X63" s="21">
        <v>207.01</v>
      </c>
      <c r="Y63" s="21">
        <v>306.06</v>
      </c>
      <c r="Z63" s="21">
        <v>187.77</v>
      </c>
      <c r="AA63" s="21">
        <v>281.10000000000002</v>
      </c>
      <c r="AB63" s="21">
        <v>190.93</v>
      </c>
      <c r="AC63" s="21">
        <v>306.2</v>
      </c>
      <c r="AD63" s="21">
        <f>W32-778.24</f>
        <v>176.10000000000002</v>
      </c>
    </row>
    <row r="64" spans="2:30">
      <c r="B64" s="17" t="s">
        <v>25</v>
      </c>
      <c r="C64" s="16">
        <f t="shared" ref="C64:AD64" si="24">C63/C48</f>
        <v>0.38183942363860585</v>
      </c>
      <c r="D64" s="16">
        <f t="shared" si="24"/>
        <v>0.29426740010001368</v>
      </c>
      <c r="E64" s="16">
        <f t="shared" si="24"/>
        <v>0.16355053108888748</v>
      </c>
      <c r="F64" s="16">
        <f t="shared" si="24"/>
        <v>0.91906176070871304</v>
      </c>
      <c r="G64" s="16">
        <f t="shared" si="24"/>
        <v>0.45932445290199808</v>
      </c>
      <c r="H64" s="16">
        <f t="shared" si="24"/>
        <v>0.37558323895809737</v>
      </c>
      <c r="I64" s="16">
        <f t="shared" si="24"/>
        <v>0.14646854813524221</v>
      </c>
      <c r="J64" s="16">
        <f t="shared" si="24"/>
        <v>1.1662321050819107</v>
      </c>
      <c r="K64" s="16">
        <f t="shared" si="24"/>
        <v>0.53523909127883329</v>
      </c>
      <c r="L64" s="16">
        <f t="shared" si="24"/>
        <v>0.30684911351430882</v>
      </c>
      <c r="M64" s="16">
        <f t="shared" si="24"/>
        <v>0.22410575427682736</v>
      </c>
      <c r="N64" s="16">
        <f t="shared" si="24"/>
        <v>0.88504460381318872</v>
      </c>
      <c r="O64" s="16">
        <f t="shared" si="24"/>
        <v>0.59074027533439444</v>
      </c>
      <c r="P64" s="16">
        <f t="shared" si="24"/>
        <v>0.54085849010743281</v>
      </c>
      <c r="Q64" s="16">
        <f t="shared" si="24"/>
        <v>0.52721516993731687</v>
      </c>
      <c r="R64" s="16">
        <f t="shared" si="24"/>
        <v>0.56893779094371566</v>
      </c>
      <c r="S64" s="16">
        <f t="shared" si="24"/>
        <v>0.59776847977684799</v>
      </c>
      <c r="T64" s="16">
        <f t="shared" si="24"/>
        <v>0.59629347213473471</v>
      </c>
      <c r="U64" s="16">
        <f t="shared" si="24"/>
        <v>0.51916085925713051</v>
      </c>
      <c r="V64" s="16">
        <f t="shared" si="24"/>
        <v>0.56516407645349609</v>
      </c>
      <c r="W64" s="16">
        <f t="shared" si="24"/>
        <v>0.60040330449489365</v>
      </c>
      <c r="X64" s="16">
        <f t="shared" si="24"/>
        <v>0.59228634373837652</v>
      </c>
      <c r="Y64" s="16">
        <f t="shared" si="24"/>
        <v>0.47956753368849886</v>
      </c>
      <c r="Z64" s="16">
        <f t="shared" si="24"/>
        <v>0.6126264274061991</v>
      </c>
      <c r="AA64" s="16">
        <f t="shared" si="24"/>
        <v>0.60931200416178966</v>
      </c>
      <c r="AB64" s="16">
        <f t="shared" si="24"/>
        <v>0.57011048074051962</v>
      </c>
      <c r="AC64" s="16">
        <f t="shared" si="24"/>
        <v>0.51156107992515376</v>
      </c>
      <c r="AD64" s="16">
        <f t="shared" si="24"/>
        <v>0.63557945645504765</v>
      </c>
    </row>
    <row r="65" spans="2:30">
      <c r="B65" s="41" t="s">
        <v>52</v>
      </c>
      <c r="C65" s="42"/>
      <c r="D65" s="42">
        <f t="shared" ref="D65:AD65" si="25">D63/C63-1</f>
        <v>0.10028896821349664</v>
      </c>
      <c r="E65" s="42">
        <f t="shared" si="25"/>
        <v>0.22029970647304165</v>
      </c>
      <c r="F65" s="42">
        <f t="shared" si="25"/>
        <v>1.3115584251171035</v>
      </c>
      <c r="G65" s="42">
        <f t="shared" si="25"/>
        <v>-0.57697573799222313</v>
      </c>
      <c r="H65" s="42">
        <f t="shared" si="25"/>
        <v>7.3407560849301001E-2</v>
      </c>
      <c r="I65" s="42">
        <f t="shared" si="25"/>
        <v>7.4779881799541759E-2</v>
      </c>
      <c r="J65" s="42">
        <f t="shared" si="25"/>
        <v>1.6603074851307373</v>
      </c>
      <c r="K65" s="42">
        <f t="shared" si="25"/>
        <v>-0.61140639500548377</v>
      </c>
      <c r="L65" s="42">
        <f t="shared" si="25"/>
        <v>-9.4442032132001752E-2</v>
      </c>
      <c r="M65" s="42">
        <f t="shared" si="25"/>
        <v>0.55466315032366342</v>
      </c>
      <c r="N65" s="42">
        <f t="shared" si="25"/>
        <v>0.95072866065232486</v>
      </c>
      <c r="O65" s="42">
        <f t="shared" si="25"/>
        <v>-0.16380094074864615</v>
      </c>
      <c r="P65" s="42">
        <f t="shared" si="25"/>
        <v>5.1855353344363087E-2</v>
      </c>
      <c r="Q65" s="42">
        <f t="shared" si="25"/>
        <v>0.5043591587273053</v>
      </c>
      <c r="R65" s="42">
        <f t="shared" si="25"/>
        <v>-0.397580283793876</v>
      </c>
      <c r="S65" s="42">
        <f t="shared" si="25"/>
        <v>-4.3588217792323691E-2</v>
      </c>
      <c r="T65" s="42">
        <f t="shared" si="25"/>
        <v>-6.7454762275107494E-2</v>
      </c>
      <c r="U65" s="42">
        <f t="shared" si="25"/>
        <v>1.0088402090514843</v>
      </c>
      <c r="V65" s="42">
        <f t="shared" si="25"/>
        <v>-0.41321856577454263</v>
      </c>
      <c r="W65" s="42">
        <f t="shared" si="25"/>
        <v>-0.12928635441724445</v>
      </c>
      <c r="X65" s="42">
        <f t="shared" si="25"/>
        <v>0.12139761646803904</v>
      </c>
      <c r="Y65" s="42">
        <f t="shared" si="25"/>
        <v>0.47847930051688325</v>
      </c>
      <c r="Z65" s="42">
        <f t="shared" si="25"/>
        <v>-0.38649284454028621</v>
      </c>
      <c r="AA65" s="42">
        <f t="shared" si="25"/>
        <v>0.49704425627096982</v>
      </c>
      <c r="AB65" s="42">
        <f t="shared" si="25"/>
        <v>-0.32077552472429738</v>
      </c>
      <c r="AC65" s="42">
        <f t="shared" si="25"/>
        <v>0.60372911538260077</v>
      </c>
      <c r="AD65" s="42">
        <f t="shared" si="25"/>
        <v>-0.42488569562377521</v>
      </c>
    </row>
    <row r="66" spans="2:30">
      <c r="B66" s="12" t="s">
        <v>26</v>
      </c>
      <c r="C66" s="21">
        <v>16.21</v>
      </c>
      <c r="D66" s="21">
        <v>23.75</v>
      </c>
      <c r="E66" s="21">
        <v>116.5</v>
      </c>
      <c r="F66" s="21">
        <v>21.1</v>
      </c>
      <c r="G66" s="21">
        <v>30.54</v>
      </c>
      <c r="H66" s="21">
        <v>30.87</v>
      </c>
      <c r="I66" s="21">
        <v>158.63</v>
      </c>
      <c r="J66" s="21">
        <v>29.67</v>
      </c>
      <c r="K66" s="21">
        <v>27.43</v>
      </c>
      <c r="L66" s="21">
        <v>66.790000000000006</v>
      </c>
      <c r="M66" s="21">
        <v>168.71</v>
      </c>
      <c r="N66" s="21">
        <v>89.44</v>
      </c>
      <c r="O66" s="21">
        <v>144.74</v>
      </c>
      <c r="P66" s="21">
        <v>146.69</v>
      </c>
      <c r="Q66" s="21">
        <v>229.68</v>
      </c>
      <c r="R66" s="21">
        <v>119.53</v>
      </c>
      <c r="S66" s="21">
        <v>119.75</v>
      </c>
      <c r="T66" s="21">
        <v>100.21</v>
      </c>
      <c r="U66" s="21">
        <v>252.59</v>
      </c>
      <c r="V66" s="21">
        <v>120.21</v>
      </c>
      <c r="W66" s="21">
        <v>101.65</v>
      </c>
      <c r="X66" s="21">
        <v>118.74</v>
      </c>
      <c r="Y66" s="21">
        <v>190.15</v>
      </c>
      <c r="Z66" s="21">
        <v>93.83</v>
      </c>
      <c r="AA66" s="21">
        <v>185.44</v>
      </c>
      <c r="AB66" s="21">
        <v>94.47</v>
      </c>
      <c r="AC66" s="21">
        <v>184.5</v>
      </c>
      <c r="AD66" s="21">
        <f>W35-464.41</f>
        <v>64.53000000000003</v>
      </c>
    </row>
    <row r="67" spans="2:30">
      <c r="B67" s="17" t="s">
        <v>27</v>
      </c>
      <c r="C67" s="16">
        <f t="shared" ref="C67:AD67" si="26">C66/C48</f>
        <v>0.10521191666125788</v>
      </c>
      <c r="D67" s="16">
        <f t="shared" si="26"/>
        <v>0.10796926853661863</v>
      </c>
      <c r="E67" s="16">
        <f t="shared" si="26"/>
        <v>0.24121581050582849</v>
      </c>
      <c r="F67" s="16">
        <f t="shared" si="26"/>
        <v>0.10620627170685057</v>
      </c>
      <c r="G67" s="16">
        <f t="shared" si="26"/>
        <v>0.18161274976213129</v>
      </c>
      <c r="H67" s="16">
        <f t="shared" si="26"/>
        <v>0.13984144960362402</v>
      </c>
      <c r="I67" s="16">
        <f t="shared" si="26"/>
        <v>0.26073735597232039</v>
      </c>
      <c r="J67" s="16">
        <f t="shared" si="26"/>
        <v>0.14596349682688051</v>
      </c>
      <c r="K67" s="16">
        <f t="shared" si="26"/>
        <v>0.15937481843007378</v>
      </c>
      <c r="L67" s="16">
        <f t="shared" si="26"/>
        <v>0.24567792246008976</v>
      </c>
      <c r="M67" s="16">
        <f t="shared" si="26"/>
        <v>0.29153274580957317</v>
      </c>
      <c r="N67" s="16">
        <f t="shared" si="26"/>
        <v>0.31289137659611682</v>
      </c>
      <c r="O67" s="16">
        <f t="shared" si="26"/>
        <v>0.40417748736421771</v>
      </c>
      <c r="P67" s="16">
        <f t="shared" si="26"/>
        <v>0.35654562247824606</v>
      </c>
      <c r="Q67" s="16">
        <f t="shared" si="26"/>
        <v>0.36173496708350394</v>
      </c>
      <c r="R67" s="16">
        <f t="shared" si="26"/>
        <v>0.33722668923684584</v>
      </c>
      <c r="S67" s="16">
        <f t="shared" si="26"/>
        <v>0.37114520378118709</v>
      </c>
      <c r="T67" s="16">
        <f t="shared" si="26"/>
        <v>0.33222822663528162</v>
      </c>
      <c r="U67" s="16">
        <f t="shared" si="26"/>
        <v>0.36294274013937783</v>
      </c>
      <c r="V67" s="16">
        <f t="shared" si="26"/>
        <v>0.32044891104417134</v>
      </c>
      <c r="W67" s="16">
        <f t="shared" si="26"/>
        <v>0.33061211214466929</v>
      </c>
      <c r="X67" s="16">
        <f t="shared" si="26"/>
        <v>0.33973276873336955</v>
      </c>
      <c r="Y67" s="16">
        <f t="shared" si="26"/>
        <v>0.29794735192729549</v>
      </c>
      <c r="Z67" s="16">
        <f t="shared" si="26"/>
        <v>0.30613376835236539</v>
      </c>
      <c r="AA67" s="16">
        <f t="shared" si="26"/>
        <v>0.40195950925564661</v>
      </c>
      <c r="AB67" s="16">
        <f t="shared" si="26"/>
        <v>0.28208420424007169</v>
      </c>
      <c r="AC67" s="16">
        <f t="shared" si="26"/>
        <v>0.3082397754611067</v>
      </c>
      <c r="AD67" s="16">
        <f t="shared" si="26"/>
        <v>0.23290143285090426</v>
      </c>
    </row>
    <row r="68" spans="2:30">
      <c r="B68" s="41" t="s">
        <v>52</v>
      </c>
      <c r="C68" s="42"/>
      <c r="D68" s="42">
        <f t="shared" ref="D68:R68" si="27">D66/C66-1</f>
        <v>0.46514497223935836</v>
      </c>
      <c r="E68" s="42">
        <f t="shared" si="27"/>
        <v>3.905263157894737</v>
      </c>
      <c r="F68" s="42">
        <f t="shared" si="27"/>
        <v>-0.81888412017167378</v>
      </c>
      <c r="G68" s="42">
        <f t="shared" si="27"/>
        <v>0.44739336492890991</v>
      </c>
      <c r="H68" s="42">
        <f t="shared" si="27"/>
        <v>1.080550098231825E-2</v>
      </c>
      <c r="I68" s="42">
        <f t="shared" si="27"/>
        <v>4.1386459345643019</v>
      </c>
      <c r="J68" s="42">
        <f t="shared" si="27"/>
        <v>-0.81296097837735615</v>
      </c>
      <c r="K68" s="42">
        <f t="shared" si="27"/>
        <v>-7.5497135153353656E-2</v>
      </c>
      <c r="L68" s="42">
        <f t="shared" si="27"/>
        <v>1.4349252643091508</v>
      </c>
      <c r="M68" s="42">
        <f t="shared" si="27"/>
        <v>1.5259769426560861</v>
      </c>
      <c r="N68" s="42">
        <f t="shared" si="27"/>
        <v>-0.46985952225712768</v>
      </c>
      <c r="O68" s="42">
        <f t="shared" si="27"/>
        <v>0.61829159212880147</v>
      </c>
      <c r="P68" s="42">
        <f t="shared" si="27"/>
        <v>1.3472433328727274E-2</v>
      </c>
      <c r="Q68" s="42">
        <f t="shared" si="27"/>
        <v>0.56575090326538957</v>
      </c>
      <c r="R68" s="42">
        <f t="shared" si="27"/>
        <v>-0.4795802856147684</v>
      </c>
      <c r="S68" s="42">
        <f t="shared" ref="S68:AD68" si="28">S66/R66-1</f>
        <v>1.8405421233163022E-3</v>
      </c>
      <c r="T68" s="42">
        <f t="shared" si="28"/>
        <v>-0.16317327766179546</v>
      </c>
      <c r="U68" s="42">
        <f t="shared" si="28"/>
        <v>1.5206067258756613</v>
      </c>
      <c r="V68" s="42">
        <f t="shared" si="28"/>
        <v>-0.5240904232154876</v>
      </c>
      <c r="W68" s="42">
        <f t="shared" si="28"/>
        <v>-0.154396472839198</v>
      </c>
      <c r="X68" s="42">
        <f t="shared" si="28"/>
        <v>0.16812592228234124</v>
      </c>
      <c r="Y68" s="42">
        <f t="shared" si="28"/>
        <v>0.60139801246420754</v>
      </c>
      <c r="Z68" s="42">
        <f t="shared" si="28"/>
        <v>-0.50654746252958194</v>
      </c>
      <c r="AA68" s="42">
        <f t="shared" si="28"/>
        <v>0.9763401897047852</v>
      </c>
      <c r="AB68" s="42">
        <f t="shared" si="28"/>
        <v>-0.4905629853321829</v>
      </c>
      <c r="AC68" s="42">
        <f t="shared" si="28"/>
        <v>0.95300095268339158</v>
      </c>
      <c r="AD68" s="42">
        <f t="shared" si="28"/>
        <v>-0.6502439024390243</v>
      </c>
    </row>
    <row r="69" spans="2:30">
      <c r="B69" s="12" t="s">
        <v>28</v>
      </c>
      <c r="C69" s="21">
        <v>21.26</v>
      </c>
      <c r="D69" s="21">
        <v>30.24</v>
      </c>
      <c r="E69" s="21">
        <v>83.66</v>
      </c>
      <c r="F69" s="21">
        <v>4.43</v>
      </c>
      <c r="G69" s="21">
        <v>30.6</v>
      </c>
      <c r="H69" s="21">
        <v>33.979999999999997</v>
      </c>
      <c r="I69" s="21">
        <v>104.21</v>
      </c>
      <c r="J69" s="21">
        <v>25.22</v>
      </c>
      <c r="K69" s="21">
        <v>16.600000000000001</v>
      </c>
      <c r="L69" s="21">
        <v>45.41</v>
      </c>
      <c r="M69" s="21">
        <v>134.37</v>
      </c>
      <c r="N69" s="21">
        <v>62.25</v>
      </c>
      <c r="O69" s="21">
        <v>106.48</v>
      </c>
      <c r="P69" s="21">
        <v>106.64</v>
      </c>
      <c r="Q69" s="21">
        <v>163.54</v>
      </c>
      <c r="R69" s="21">
        <v>103.71</v>
      </c>
      <c r="S69" s="21">
        <v>92.75</v>
      </c>
      <c r="T69" s="21">
        <v>79.09</v>
      </c>
      <c r="U69" s="21">
        <v>195.55</v>
      </c>
      <c r="V69" s="21">
        <v>110.3</v>
      </c>
      <c r="W69" s="21">
        <v>118.98</v>
      </c>
      <c r="X69" s="21">
        <v>111.47</v>
      </c>
      <c r="Y69" s="21">
        <v>115.78</v>
      </c>
      <c r="Z69" s="21">
        <v>86.54</v>
      </c>
      <c r="AA69" s="21">
        <v>181.02</v>
      </c>
      <c r="AB69" s="21">
        <v>90.28</v>
      </c>
      <c r="AC69" s="21">
        <v>136.74</v>
      </c>
      <c r="AD69" s="21">
        <f>W38-408.06</f>
        <v>82.579999999999984</v>
      </c>
    </row>
    <row r="70" spans="2:30" ht="52.2">
      <c r="B70" s="14" t="s">
        <v>234</v>
      </c>
      <c r="C70" s="29"/>
      <c r="D70" s="29"/>
      <c r="E70" s="29" t="s">
        <v>249</v>
      </c>
      <c r="F70" s="29"/>
      <c r="G70" s="29"/>
      <c r="H70" s="29"/>
      <c r="I70" s="29" t="s">
        <v>246</v>
      </c>
      <c r="J70" s="29"/>
      <c r="K70" s="29"/>
      <c r="L70" s="29" t="s">
        <v>235</v>
      </c>
      <c r="M70" s="29" t="s">
        <v>245</v>
      </c>
      <c r="N70" s="29" t="s">
        <v>244</v>
      </c>
      <c r="O70" s="29"/>
      <c r="P70" s="29"/>
      <c r="Q70" s="29"/>
      <c r="R70" s="29"/>
      <c r="S70" s="29"/>
      <c r="T70" s="29"/>
      <c r="U70" s="29" t="s">
        <v>237</v>
      </c>
      <c r="V70" s="29"/>
      <c r="W70" s="29"/>
      <c r="X70" s="29" t="s">
        <v>240</v>
      </c>
      <c r="Y70" s="29" t="s">
        <v>241</v>
      </c>
      <c r="Z70" s="29"/>
      <c r="AA70" s="29" t="s">
        <v>238</v>
      </c>
      <c r="AB70" s="29"/>
      <c r="AC70" s="29" t="s">
        <v>239</v>
      </c>
      <c r="AD70" s="29"/>
    </row>
    <row r="71" spans="2:30" ht="34.799999999999997">
      <c r="B71" s="14"/>
      <c r="C71" s="29"/>
      <c r="D71" s="29"/>
      <c r="E71" s="29"/>
      <c r="F71" s="29"/>
      <c r="G71" s="29"/>
      <c r="H71" s="29"/>
      <c r="I71" s="29" t="s">
        <v>248</v>
      </c>
      <c r="J71" s="29"/>
      <c r="K71" s="29"/>
      <c r="L71" s="29" t="s">
        <v>236</v>
      </c>
      <c r="M71" s="29" t="s">
        <v>247</v>
      </c>
      <c r="N71" s="29"/>
      <c r="O71" s="29"/>
      <c r="P71" s="29"/>
      <c r="Q71" s="29"/>
      <c r="R71" s="29"/>
      <c r="S71" s="29"/>
      <c r="T71" s="29"/>
      <c r="U71" s="29" t="s">
        <v>242</v>
      </c>
      <c r="V71" s="29" t="s">
        <v>243</v>
      </c>
      <c r="W71" s="29"/>
      <c r="X71" s="29"/>
      <c r="Y71" s="29"/>
      <c r="Z71" s="29"/>
      <c r="AA71" s="29"/>
      <c r="AB71" s="29"/>
      <c r="AC71" s="29"/>
      <c r="AD71" s="29"/>
    </row>
    <row r="72" spans="2:30">
      <c r="C72" s="50"/>
      <c r="D72" s="50"/>
      <c r="E72" s="50"/>
      <c r="F72" s="50"/>
      <c r="G72" s="50"/>
      <c r="H72" s="50"/>
      <c r="I72" s="50"/>
      <c r="J72" s="50"/>
      <c r="K72" s="50"/>
      <c r="L72" s="50"/>
      <c r="M72" s="50"/>
      <c r="N72" s="50"/>
      <c r="O72" s="50"/>
      <c r="P72" s="50"/>
      <c r="Q72" s="50"/>
      <c r="R72" s="50"/>
      <c r="S72" s="50"/>
      <c r="T72" s="50"/>
      <c r="U72" s="50"/>
      <c r="V72" s="50"/>
      <c r="W72" s="50"/>
      <c r="X72" s="50"/>
      <c r="Y72" s="50"/>
      <c r="Z72" s="50"/>
      <c r="AA72" s="50"/>
      <c r="AB72" s="50"/>
      <c r="AC72" s="50"/>
      <c r="AD72" s="50"/>
    </row>
    <row r="73" spans="2:30">
      <c r="C73" s="50"/>
      <c r="D73" s="50"/>
      <c r="E73" s="50"/>
      <c r="F73" s="50"/>
      <c r="G73" s="50"/>
      <c r="H73" s="50"/>
      <c r="I73" s="50"/>
      <c r="J73" s="50"/>
      <c r="K73" s="50"/>
      <c r="L73" s="50"/>
      <c r="M73" s="50"/>
      <c r="N73" s="50"/>
      <c r="O73" s="50"/>
      <c r="P73" s="50"/>
      <c r="Q73" s="50"/>
      <c r="R73" s="50"/>
      <c r="S73" s="50"/>
      <c r="T73" s="50"/>
      <c r="U73" s="50"/>
      <c r="V73" s="50"/>
      <c r="W73" s="50"/>
      <c r="X73" s="50"/>
      <c r="Y73" s="50"/>
      <c r="Z73" s="50"/>
      <c r="AA73" s="50"/>
      <c r="AB73" s="50"/>
      <c r="AC73" s="50"/>
      <c r="AD73" s="50"/>
    </row>
    <row r="74" spans="2:30">
      <c r="C74" s="28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28"/>
      <c r="O74" s="28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28"/>
      <c r="AA74" s="28"/>
      <c r="AB74" s="28"/>
      <c r="AC74" s="28"/>
      <c r="AD74" s="28"/>
    </row>
    <row r="75" spans="2:30"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28"/>
      <c r="R75" s="28"/>
      <c r="S75" s="28"/>
      <c r="T75" s="28"/>
      <c r="U75" s="28"/>
      <c r="V75" s="28"/>
      <c r="W75" s="28"/>
      <c r="X75" s="28"/>
      <c r="Y75" s="28"/>
      <c r="Z75" s="28"/>
      <c r="AA75" s="28"/>
      <c r="AB75" s="28"/>
      <c r="AC75" s="28"/>
      <c r="AD75" s="28"/>
    </row>
    <row r="76" spans="2:30"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28"/>
      <c r="R76" s="28"/>
      <c r="S76" s="28"/>
      <c r="T76" s="28"/>
      <c r="U76" s="28"/>
      <c r="V76" s="28"/>
      <c r="W76" s="28"/>
      <c r="X76" s="28"/>
      <c r="Y76" s="28"/>
      <c r="Z76" s="28"/>
      <c r="AA76" s="28"/>
      <c r="AB76" s="28"/>
      <c r="AC76" s="28"/>
      <c r="AD76" s="28"/>
    </row>
    <row r="77" spans="2:30">
      <c r="B77" s="36" t="s">
        <v>250</v>
      </c>
      <c r="C77" s="45" t="s">
        <v>251</v>
      </c>
      <c r="D77" s="37" t="s">
        <v>268</v>
      </c>
      <c r="E77" s="37"/>
      <c r="F77" s="45" t="s">
        <v>270</v>
      </c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28"/>
      <c r="R77" s="28"/>
      <c r="S77" s="28"/>
      <c r="T77" s="28"/>
      <c r="U77" s="28"/>
      <c r="V77" s="28"/>
      <c r="W77" s="28"/>
      <c r="X77" s="28"/>
      <c r="Y77" s="28"/>
      <c r="Z77" s="28"/>
      <c r="AA77" s="28"/>
      <c r="AB77" s="28"/>
      <c r="AC77" s="28"/>
      <c r="AD77" s="28"/>
    </row>
    <row r="78" spans="2:30">
      <c r="B78" s="38" t="s">
        <v>252</v>
      </c>
      <c r="C78" s="31">
        <v>45219</v>
      </c>
      <c r="D78" s="34">
        <v>13.44</v>
      </c>
      <c r="E78" s="33"/>
      <c r="F78" s="30">
        <f t="shared" ref="F78:F94" si="29">RANK(D78,$D$78:$D$94)</f>
        <v>17</v>
      </c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28"/>
      <c r="R78" s="28"/>
      <c r="S78" s="28"/>
      <c r="T78" s="28"/>
      <c r="U78" s="28"/>
      <c r="V78" s="28"/>
      <c r="W78" s="28"/>
      <c r="X78" s="28"/>
      <c r="Y78" s="28"/>
      <c r="Z78" s="28"/>
      <c r="AA78" s="28"/>
      <c r="AB78" s="28"/>
      <c r="AC78" s="28"/>
      <c r="AD78" s="28"/>
    </row>
    <row r="79" spans="2:30">
      <c r="B79" s="38" t="s">
        <v>255</v>
      </c>
      <c r="C79" s="31">
        <v>45058</v>
      </c>
      <c r="D79" s="34">
        <v>20.61</v>
      </c>
      <c r="E79" s="33"/>
      <c r="F79" s="30">
        <f t="shared" si="29"/>
        <v>9</v>
      </c>
      <c r="G79" s="30"/>
      <c r="H79" s="30"/>
      <c r="I79" s="30"/>
      <c r="J79" s="30"/>
      <c r="K79" s="30"/>
      <c r="L79" s="30"/>
      <c r="M79" s="30"/>
      <c r="N79" s="30"/>
      <c r="O79" s="30"/>
      <c r="P79" s="30"/>
    </row>
    <row r="80" spans="2:30">
      <c r="B80" s="38" t="s">
        <v>253</v>
      </c>
      <c r="C80" s="31">
        <v>44883</v>
      </c>
      <c r="D80" s="34">
        <v>24.92</v>
      </c>
      <c r="E80" s="33"/>
      <c r="F80" s="30">
        <f t="shared" si="29"/>
        <v>7</v>
      </c>
      <c r="G80" s="30"/>
      <c r="H80" s="30"/>
      <c r="I80" s="30"/>
      <c r="J80" s="30"/>
      <c r="K80" s="30"/>
      <c r="L80" s="30"/>
      <c r="M80" s="30"/>
      <c r="N80" s="30"/>
      <c r="O80" s="30"/>
      <c r="P80" s="30"/>
    </row>
    <row r="81" spans="2:16">
      <c r="B81" s="38" t="s">
        <v>254</v>
      </c>
      <c r="C81" s="31">
        <v>44589</v>
      </c>
      <c r="D81" s="34">
        <v>14.83</v>
      </c>
      <c r="E81" s="33"/>
      <c r="F81" s="30">
        <f t="shared" si="29"/>
        <v>14</v>
      </c>
      <c r="G81" s="30"/>
      <c r="H81" s="30"/>
      <c r="I81" s="30"/>
      <c r="J81" s="30"/>
      <c r="K81" s="30"/>
      <c r="L81" s="30"/>
      <c r="M81" s="30"/>
      <c r="N81" s="30"/>
      <c r="O81" s="30"/>
      <c r="P81" s="30"/>
    </row>
    <row r="82" spans="2:16">
      <c r="B82" s="38" t="s">
        <v>256</v>
      </c>
      <c r="C82" s="31">
        <v>44519</v>
      </c>
      <c r="D82" s="34">
        <v>15.06</v>
      </c>
      <c r="E82" s="33"/>
      <c r="F82" s="30">
        <f t="shared" si="29"/>
        <v>12</v>
      </c>
      <c r="G82" s="30"/>
      <c r="H82" s="30"/>
      <c r="I82" s="30"/>
      <c r="J82" s="30"/>
      <c r="K82" s="30"/>
      <c r="L82" s="30"/>
      <c r="M82" s="30"/>
      <c r="N82" s="30"/>
      <c r="O82" s="30"/>
      <c r="P82" s="30"/>
    </row>
    <row r="83" spans="2:16">
      <c r="B83" s="38" t="s">
        <v>257</v>
      </c>
      <c r="C83" s="32">
        <v>43910</v>
      </c>
      <c r="D83" s="34">
        <v>45.36</v>
      </c>
      <c r="E83" s="33"/>
      <c r="F83" s="30">
        <f t="shared" si="29"/>
        <v>2</v>
      </c>
      <c r="G83" s="30"/>
      <c r="H83" s="30"/>
      <c r="I83" s="30"/>
      <c r="J83" s="30"/>
      <c r="K83" s="30"/>
      <c r="L83" s="30"/>
      <c r="M83" s="30"/>
      <c r="N83" s="30"/>
      <c r="O83" s="30"/>
      <c r="P83" s="30"/>
    </row>
    <row r="84" spans="2:16">
      <c r="B84" s="38" t="s">
        <v>258</v>
      </c>
      <c r="C84" s="31">
        <v>43784</v>
      </c>
      <c r="D84" s="34">
        <v>26.27</v>
      </c>
      <c r="E84" s="33"/>
      <c r="F84" s="30">
        <f t="shared" si="29"/>
        <v>6</v>
      </c>
    </row>
    <row r="85" spans="2:16">
      <c r="B85" s="38" t="s">
        <v>269</v>
      </c>
      <c r="C85" s="32">
        <v>43769</v>
      </c>
      <c r="D85" s="34">
        <v>14.25</v>
      </c>
      <c r="E85" s="33"/>
      <c r="F85" s="30">
        <f t="shared" si="29"/>
        <v>15</v>
      </c>
    </row>
    <row r="86" spans="2:16">
      <c r="B86" s="38" t="s">
        <v>259</v>
      </c>
      <c r="C86" s="31">
        <v>43756</v>
      </c>
      <c r="D86" s="34">
        <v>15.38</v>
      </c>
      <c r="E86" s="33"/>
      <c r="F86" s="30">
        <f t="shared" si="29"/>
        <v>11</v>
      </c>
    </row>
    <row r="87" spans="2:16">
      <c r="B87" s="38" t="s">
        <v>260</v>
      </c>
      <c r="C87" s="32">
        <v>43476</v>
      </c>
      <c r="D87" s="34">
        <v>17.45</v>
      </c>
      <c r="E87" s="33"/>
      <c r="F87" s="30">
        <f t="shared" si="29"/>
        <v>10</v>
      </c>
    </row>
    <row r="88" spans="2:16">
      <c r="B88" s="38" t="s">
        <v>261</v>
      </c>
      <c r="C88" s="32">
        <v>43441</v>
      </c>
      <c r="D88" s="34">
        <v>34.22</v>
      </c>
      <c r="E88" s="33"/>
      <c r="F88" s="30">
        <f t="shared" si="29"/>
        <v>3</v>
      </c>
    </row>
    <row r="89" spans="2:16">
      <c r="B89" s="38" t="s">
        <v>262</v>
      </c>
      <c r="C89" s="32">
        <v>43420</v>
      </c>
      <c r="D89" s="34">
        <v>15.06</v>
      </c>
      <c r="E89" s="33"/>
      <c r="F89" s="30">
        <f t="shared" si="29"/>
        <v>12</v>
      </c>
    </row>
    <row r="90" spans="2:16">
      <c r="B90" s="38" t="s">
        <v>263</v>
      </c>
      <c r="C90" s="32">
        <v>43378</v>
      </c>
      <c r="D90" s="34">
        <v>20.66</v>
      </c>
      <c r="E90" s="33"/>
      <c r="F90" s="30">
        <f t="shared" si="29"/>
        <v>8</v>
      </c>
    </row>
    <row r="91" spans="2:16">
      <c r="B91" s="38" t="s">
        <v>264</v>
      </c>
      <c r="C91" s="32">
        <v>43035</v>
      </c>
      <c r="D91" s="34">
        <v>27.96</v>
      </c>
      <c r="E91" s="33"/>
      <c r="F91" s="30">
        <f t="shared" si="29"/>
        <v>5</v>
      </c>
    </row>
    <row r="92" spans="2:16">
      <c r="B92" s="38" t="s">
        <v>265</v>
      </c>
      <c r="C92" s="32">
        <v>42937</v>
      </c>
      <c r="D92" s="35">
        <v>13.6</v>
      </c>
      <c r="E92" s="33"/>
      <c r="F92" s="30">
        <f t="shared" si="29"/>
        <v>16</v>
      </c>
    </row>
    <row r="93" spans="2:16">
      <c r="B93" s="38" t="s">
        <v>266</v>
      </c>
      <c r="C93" s="32">
        <v>42853</v>
      </c>
      <c r="D93" s="34">
        <v>61.97</v>
      </c>
      <c r="E93" s="33"/>
      <c r="F93" s="30">
        <f t="shared" si="29"/>
        <v>1</v>
      </c>
    </row>
    <row r="94" spans="2:16">
      <c r="B94" s="38" t="s">
        <v>267</v>
      </c>
      <c r="C94" s="32">
        <v>42797</v>
      </c>
      <c r="D94" s="34">
        <v>31.85</v>
      </c>
      <c r="E94" s="33"/>
      <c r="F94" s="30">
        <f t="shared" si="29"/>
        <v>4</v>
      </c>
    </row>
  </sheetData>
  <phoneticPr fontId="2" type="noConversion"/>
  <conditionalFormatting sqref="D78:E9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{7870FDCE-3F77-4F7A-AC9A-DC1304A6394A}</x14:id>
        </ext>
      </extLst>
    </cfRule>
  </conditionalFormatting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870FDCE-3F77-4F7A-AC9A-DC1304A6394A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D78:E94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CC9B84-061B-4CCF-BDDB-5936BBAB9777}">
  <dimension ref="B3:O251"/>
  <sheetViews>
    <sheetView showGridLines="0" topLeftCell="A212" workbookViewId="0">
      <selection activeCell="D202" sqref="D202"/>
    </sheetView>
  </sheetViews>
  <sheetFormatPr defaultRowHeight="17.399999999999999"/>
  <cols>
    <col min="1" max="1" width="4.69921875" customWidth="1"/>
    <col min="2" max="2" width="16.8984375" customWidth="1"/>
    <col min="3" max="3" width="9.296875" customWidth="1"/>
    <col min="4" max="4" width="3" customWidth="1"/>
  </cols>
  <sheetData>
    <row r="3" spans="2:13">
      <c r="B3" t="s">
        <v>53</v>
      </c>
    </row>
    <row r="4" spans="2:13">
      <c r="B4" t="s">
        <v>54</v>
      </c>
    </row>
    <row r="8" spans="2:13">
      <c r="M8" t="s">
        <v>56</v>
      </c>
    </row>
    <row r="9" spans="2:13">
      <c r="M9" t="s">
        <v>57</v>
      </c>
    </row>
    <row r="10" spans="2:13">
      <c r="M10" t="s">
        <v>58</v>
      </c>
    </row>
    <row r="26" spans="2:11" ht="30">
      <c r="B26" s="22" t="s">
        <v>55</v>
      </c>
      <c r="C26" s="6"/>
      <c r="D26" s="6"/>
      <c r="E26" s="6"/>
      <c r="F26" s="6"/>
      <c r="G26" s="6"/>
      <c r="H26" s="6"/>
      <c r="I26" s="6"/>
      <c r="J26" s="6"/>
      <c r="K26" s="6"/>
    </row>
    <row r="28" spans="2:11">
      <c r="B28" t="s">
        <v>59</v>
      </c>
    </row>
    <row r="29" spans="2:11">
      <c r="B29" t="s">
        <v>60</v>
      </c>
    </row>
    <row r="31" spans="2:11">
      <c r="B31" t="s">
        <v>61</v>
      </c>
    </row>
    <row r="32" spans="2:11">
      <c r="B32" t="s">
        <v>62</v>
      </c>
    </row>
    <row r="33" spans="2:8">
      <c r="B33" t="s">
        <v>63</v>
      </c>
    </row>
    <row r="34" spans="2:8">
      <c r="B34" t="s">
        <v>64</v>
      </c>
    </row>
    <row r="36" spans="2:8">
      <c r="B36" s="12" t="s">
        <v>69</v>
      </c>
      <c r="C36" s="12"/>
      <c r="D36" s="12"/>
      <c r="E36" s="12"/>
      <c r="F36" s="12"/>
      <c r="G36" s="12"/>
      <c r="H36" s="12"/>
    </row>
    <row r="37" spans="2:8">
      <c r="B37" t="s">
        <v>70</v>
      </c>
    </row>
    <row r="38" spans="2:8">
      <c r="B38" t="s">
        <v>68</v>
      </c>
    </row>
    <row r="39" spans="2:8">
      <c r="B39" t="s">
        <v>71</v>
      </c>
    </row>
    <row r="41" spans="2:8">
      <c r="B41" s="13" t="s">
        <v>80</v>
      </c>
    </row>
    <row r="42" spans="2:8">
      <c r="B42" t="s">
        <v>73</v>
      </c>
    </row>
    <row r="43" spans="2:8">
      <c r="B43" t="s">
        <v>74</v>
      </c>
    </row>
    <row r="44" spans="2:8">
      <c r="B44" t="s">
        <v>75</v>
      </c>
    </row>
    <row r="45" spans="2:8">
      <c r="B45" t="s">
        <v>76</v>
      </c>
    </row>
    <row r="47" spans="2:8">
      <c r="B47" t="s">
        <v>77</v>
      </c>
    </row>
    <row r="48" spans="2:8">
      <c r="B48" t="s">
        <v>78</v>
      </c>
    </row>
    <row r="50" spans="2:2">
      <c r="B50" t="s">
        <v>79</v>
      </c>
    </row>
    <row r="51" spans="2:2">
      <c r="B51" t="s">
        <v>81</v>
      </c>
    </row>
    <row r="53" spans="2:2">
      <c r="B53" t="s">
        <v>82</v>
      </c>
    </row>
    <row r="54" spans="2:2">
      <c r="B54" t="s">
        <v>83</v>
      </c>
    </row>
    <row r="56" spans="2:2">
      <c r="B56" s="13" t="s">
        <v>65</v>
      </c>
    </row>
    <row r="57" spans="2:2">
      <c r="B57" t="s">
        <v>84</v>
      </c>
    </row>
    <row r="58" spans="2:2">
      <c r="B58" t="s">
        <v>85</v>
      </c>
    </row>
    <row r="59" spans="2:2">
      <c r="B59" t="s">
        <v>86</v>
      </c>
    </row>
    <row r="60" spans="2:2">
      <c r="B60" t="s">
        <v>87</v>
      </c>
    </row>
    <row r="62" spans="2:2">
      <c r="B62" t="s">
        <v>88</v>
      </c>
    </row>
    <row r="63" spans="2:2">
      <c r="B63" t="s">
        <v>89</v>
      </c>
    </row>
    <row r="64" spans="2:2">
      <c r="B64" t="s">
        <v>90</v>
      </c>
    </row>
    <row r="66" spans="2:2">
      <c r="B66" s="13" t="s">
        <v>72</v>
      </c>
    </row>
    <row r="67" spans="2:2">
      <c r="B67" t="s">
        <v>91</v>
      </c>
    </row>
    <row r="68" spans="2:2">
      <c r="B68" t="s">
        <v>92</v>
      </c>
    </row>
    <row r="69" spans="2:2">
      <c r="B69" t="s">
        <v>93</v>
      </c>
    </row>
    <row r="70" spans="2:2">
      <c r="B70" t="s">
        <v>94</v>
      </c>
    </row>
    <row r="72" spans="2:2">
      <c r="B72" t="s">
        <v>95</v>
      </c>
    </row>
    <row r="73" spans="2:2">
      <c r="B73" t="s">
        <v>96</v>
      </c>
    </row>
    <row r="75" spans="2:2">
      <c r="B75" t="s">
        <v>97</v>
      </c>
    </row>
    <row r="76" spans="2:2">
      <c r="B76" t="s">
        <v>98</v>
      </c>
    </row>
    <row r="78" spans="2:2">
      <c r="B78" s="13" t="s">
        <v>66</v>
      </c>
    </row>
    <row r="79" spans="2:2">
      <c r="B79" t="s">
        <v>99</v>
      </c>
    </row>
    <row r="80" spans="2:2">
      <c r="B80" t="s">
        <v>100</v>
      </c>
    </row>
    <row r="81" spans="2:8">
      <c r="B81" t="s">
        <v>101</v>
      </c>
    </row>
    <row r="82" spans="2:8">
      <c r="B82" t="s">
        <v>102</v>
      </c>
    </row>
    <row r="84" spans="2:8">
      <c r="B84" s="13" t="s">
        <v>67</v>
      </c>
    </row>
    <row r="85" spans="2:8">
      <c r="B85" t="s">
        <v>103</v>
      </c>
    </row>
    <row r="86" spans="2:8">
      <c r="B86" t="s">
        <v>104</v>
      </c>
    </row>
    <row r="87" spans="2:8">
      <c r="B87" t="s">
        <v>105</v>
      </c>
    </row>
    <row r="90" spans="2:8">
      <c r="B90" s="12" t="s">
        <v>106</v>
      </c>
      <c r="C90" s="12"/>
      <c r="D90" s="12"/>
      <c r="E90" s="12"/>
      <c r="F90" s="12"/>
      <c r="G90" s="12"/>
      <c r="H90" s="12"/>
    </row>
    <row r="91" spans="2:8">
      <c r="B91" t="s">
        <v>107</v>
      </c>
    </row>
    <row r="92" spans="2:8">
      <c r="B92" t="s">
        <v>108</v>
      </c>
    </row>
    <row r="94" spans="2:8">
      <c r="B94" s="13" t="s">
        <v>109</v>
      </c>
    </row>
    <row r="95" spans="2:8">
      <c r="B95" t="s">
        <v>111</v>
      </c>
    </row>
    <row r="96" spans="2:8">
      <c r="B96" t="s">
        <v>112</v>
      </c>
    </row>
    <row r="98" spans="2:2">
      <c r="B98" t="s">
        <v>113</v>
      </c>
    </row>
    <row r="99" spans="2:2">
      <c r="B99" t="s">
        <v>114</v>
      </c>
    </row>
    <row r="100" spans="2:2">
      <c r="B100" t="s">
        <v>115</v>
      </c>
    </row>
    <row r="102" spans="2:2">
      <c r="B102" t="s">
        <v>116</v>
      </c>
    </row>
    <row r="104" spans="2:2">
      <c r="B104" s="13" t="s">
        <v>110</v>
      </c>
    </row>
    <row r="105" spans="2:2">
      <c r="B105" t="s">
        <v>117</v>
      </c>
    </row>
    <row r="106" spans="2:2">
      <c r="B106" t="s">
        <v>118</v>
      </c>
    </row>
    <row r="108" spans="2:2">
      <c r="B108" t="s">
        <v>119</v>
      </c>
    </row>
    <row r="110" spans="2:2">
      <c r="B110" t="s">
        <v>120</v>
      </c>
    </row>
    <row r="112" spans="2:2">
      <c r="B112" t="s">
        <v>121</v>
      </c>
    </row>
    <row r="115" spans="2:11" ht="30">
      <c r="B115" s="22" t="s">
        <v>122</v>
      </c>
      <c r="C115" s="22"/>
      <c r="D115" s="22"/>
      <c r="E115" s="22"/>
      <c r="F115" s="22"/>
      <c r="G115" s="22"/>
      <c r="H115" s="22"/>
      <c r="I115" s="22"/>
      <c r="J115" s="22"/>
      <c r="K115" s="22"/>
    </row>
    <row r="117" spans="2:11">
      <c r="B117" t="s">
        <v>123</v>
      </c>
    </row>
    <row r="118" spans="2:11">
      <c r="B118" t="s">
        <v>124</v>
      </c>
    </row>
    <row r="120" spans="2:11">
      <c r="B120" s="12" t="s">
        <v>125</v>
      </c>
      <c r="C120" s="12"/>
      <c r="D120" s="12"/>
      <c r="E120" s="12"/>
      <c r="F120" s="12"/>
      <c r="G120" s="12"/>
      <c r="H120" s="12"/>
    </row>
    <row r="122" spans="2:11">
      <c r="B122" s="13" t="s">
        <v>128</v>
      </c>
    </row>
    <row r="123" spans="2:11">
      <c r="B123" t="s">
        <v>126</v>
      </c>
    </row>
    <row r="124" spans="2:11">
      <c r="B124" t="s">
        <v>127</v>
      </c>
    </row>
    <row r="125" spans="2:11">
      <c r="B125" t="s">
        <v>129</v>
      </c>
    </row>
    <row r="127" spans="2:11">
      <c r="B127" s="13" t="s">
        <v>130</v>
      </c>
    </row>
    <row r="128" spans="2:11">
      <c r="B128" t="s">
        <v>131</v>
      </c>
    </row>
    <row r="129" spans="2:10">
      <c r="B129" t="s">
        <v>132</v>
      </c>
    </row>
    <row r="131" spans="2:10">
      <c r="B131" s="13" t="s">
        <v>133</v>
      </c>
    </row>
    <row r="132" spans="2:10">
      <c r="B132" t="s">
        <v>134</v>
      </c>
    </row>
    <row r="133" spans="2:10">
      <c r="B133" t="s">
        <v>135</v>
      </c>
    </row>
    <row r="134" spans="2:10">
      <c r="B134" t="s">
        <v>136</v>
      </c>
    </row>
    <row r="136" spans="2:10">
      <c r="B136" s="12" t="s">
        <v>137</v>
      </c>
      <c r="C136" s="12"/>
      <c r="D136" s="12"/>
      <c r="E136" s="12"/>
      <c r="F136" s="12"/>
      <c r="G136" s="12"/>
      <c r="H136" s="12"/>
    </row>
    <row r="138" spans="2:10">
      <c r="B138" t="s">
        <v>138</v>
      </c>
    </row>
    <row r="139" spans="2:10">
      <c r="B139" t="s">
        <v>139</v>
      </c>
    </row>
    <row r="141" spans="2:10">
      <c r="B141" s="13" t="s">
        <v>140</v>
      </c>
    </row>
    <row r="143" spans="2:10">
      <c r="B143" s="25" t="s">
        <v>149</v>
      </c>
      <c r="C143" s="25" t="s">
        <v>150</v>
      </c>
      <c r="D143" s="25"/>
      <c r="E143" s="25" t="s">
        <v>151</v>
      </c>
      <c r="F143" s="25"/>
      <c r="G143" s="25"/>
      <c r="H143" s="25"/>
      <c r="I143" s="25"/>
      <c r="J143" s="25"/>
    </row>
    <row r="144" spans="2:10">
      <c r="B144" s="23" t="s">
        <v>141</v>
      </c>
      <c r="C144" s="23">
        <v>36</v>
      </c>
      <c r="D144" s="23"/>
      <c r="E144" s="23" t="s">
        <v>148</v>
      </c>
      <c r="F144" s="23"/>
      <c r="G144" s="23"/>
      <c r="H144" s="23"/>
      <c r="I144" s="23"/>
      <c r="J144" s="23"/>
    </row>
    <row r="145" spans="2:10">
      <c r="B145" s="23" t="s">
        <v>142</v>
      </c>
      <c r="C145" s="23">
        <v>41.5</v>
      </c>
      <c r="D145" s="23"/>
      <c r="E145" s="23" t="s">
        <v>154</v>
      </c>
      <c r="F145" s="23"/>
      <c r="G145" s="23"/>
      <c r="H145" s="23"/>
      <c r="I145" s="23"/>
      <c r="J145" s="23"/>
    </row>
    <row r="146" spans="2:10">
      <c r="B146" s="24" t="s">
        <v>143</v>
      </c>
      <c r="C146" s="24">
        <v>68.599999999999994</v>
      </c>
      <c r="D146" s="24"/>
      <c r="E146" s="24" t="s">
        <v>146</v>
      </c>
      <c r="F146" s="24"/>
      <c r="G146" s="24"/>
      <c r="H146" s="24"/>
      <c r="I146" s="24"/>
      <c r="J146" s="24"/>
    </row>
    <row r="147" spans="2:10">
      <c r="B147" s="24" t="s">
        <v>144</v>
      </c>
      <c r="C147" s="24">
        <v>55.8</v>
      </c>
      <c r="D147" s="24"/>
      <c r="E147" s="24" t="s">
        <v>145</v>
      </c>
      <c r="F147" s="24"/>
      <c r="G147" s="24"/>
      <c r="H147" s="24"/>
      <c r="I147" s="24"/>
      <c r="J147" s="24"/>
    </row>
    <row r="148" spans="2:10">
      <c r="B148" s="14" t="s">
        <v>164</v>
      </c>
      <c r="C148" s="14">
        <v>68.8</v>
      </c>
      <c r="D148" s="14"/>
      <c r="E148" s="14" t="s">
        <v>147</v>
      </c>
      <c r="F148" s="14"/>
      <c r="G148" s="14"/>
      <c r="H148" s="14"/>
      <c r="I148" s="14"/>
      <c r="J148" s="14"/>
    </row>
    <row r="149" spans="2:10">
      <c r="B149" s="14" t="s">
        <v>165</v>
      </c>
      <c r="C149" s="14">
        <v>39.799999999999997</v>
      </c>
      <c r="D149" s="14"/>
      <c r="E149" s="14" t="s">
        <v>148</v>
      </c>
      <c r="F149" s="14"/>
      <c r="G149" s="14"/>
      <c r="H149" s="14"/>
      <c r="I149" s="14"/>
      <c r="J149" s="14"/>
    </row>
    <row r="151" spans="2:10">
      <c r="B151" t="s">
        <v>152</v>
      </c>
    </row>
    <row r="152" spans="2:10">
      <c r="B152" t="s">
        <v>153</v>
      </c>
    </row>
    <row r="154" spans="2:10">
      <c r="B154" t="s">
        <v>155</v>
      </c>
    </row>
    <row r="155" spans="2:10">
      <c r="B155" t="s">
        <v>156</v>
      </c>
    </row>
    <row r="157" spans="2:10">
      <c r="B157" t="s">
        <v>157</v>
      </c>
    </row>
    <row r="158" spans="2:10">
      <c r="B158" t="s">
        <v>158</v>
      </c>
    </row>
    <row r="159" spans="2:10">
      <c r="B159" t="s">
        <v>159</v>
      </c>
    </row>
    <row r="161" spans="2:2">
      <c r="B161" t="s">
        <v>160</v>
      </c>
    </row>
    <row r="162" spans="2:2">
      <c r="B162" t="s">
        <v>161</v>
      </c>
    </row>
    <row r="164" spans="2:2">
      <c r="B164" t="s">
        <v>162</v>
      </c>
    </row>
    <row r="166" spans="2:2">
      <c r="B166" s="13" t="s">
        <v>163</v>
      </c>
    </row>
    <row r="182" spans="2:2">
      <c r="B182" t="s">
        <v>166</v>
      </c>
    </row>
    <row r="183" spans="2:2">
      <c r="B183" t="s">
        <v>167</v>
      </c>
    </row>
    <row r="185" spans="2:2">
      <c r="B185" s="13" t="s">
        <v>168</v>
      </c>
    </row>
    <row r="186" spans="2:2">
      <c r="B186" t="s">
        <v>169</v>
      </c>
    </row>
    <row r="187" spans="2:2">
      <c r="B187" t="s">
        <v>170</v>
      </c>
    </row>
    <row r="189" spans="2:2">
      <c r="B189" t="s">
        <v>171</v>
      </c>
    </row>
    <row r="190" spans="2:2">
      <c r="B190" t="s">
        <v>172</v>
      </c>
    </row>
    <row r="191" spans="2:2">
      <c r="B191" t="s">
        <v>173</v>
      </c>
    </row>
    <row r="192" spans="2:2">
      <c r="B192" t="s">
        <v>174</v>
      </c>
    </row>
    <row r="193" spans="2:15">
      <c r="B193" t="s">
        <v>175</v>
      </c>
    </row>
    <row r="195" spans="2:15">
      <c r="B195" t="s">
        <v>176</v>
      </c>
    </row>
    <row r="196" spans="2:15">
      <c r="B196" t="s">
        <v>177</v>
      </c>
    </row>
    <row r="198" spans="2:15">
      <c r="B198" t="s">
        <v>182</v>
      </c>
    </row>
    <row r="200" spans="2:15">
      <c r="B200" s="23" t="s">
        <v>178</v>
      </c>
      <c r="C200" s="23" t="s">
        <v>184</v>
      </c>
      <c r="D200" s="23"/>
      <c r="E200" s="23"/>
      <c r="F200" s="23"/>
      <c r="G200" s="23"/>
      <c r="H200" s="23"/>
      <c r="I200" s="23"/>
      <c r="J200" s="23"/>
      <c r="K200" s="23"/>
      <c r="L200" s="23"/>
      <c r="M200" s="23"/>
      <c r="N200" s="23"/>
      <c r="O200" s="23"/>
    </row>
    <row r="201" spans="2:15">
      <c r="B201" s="24" t="s">
        <v>179</v>
      </c>
      <c r="C201" s="24" t="s">
        <v>181</v>
      </c>
      <c r="D201" s="24"/>
      <c r="E201" s="24"/>
      <c r="F201" s="24"/>
      <c r="G201" s="24"/>
      <c r="H201" s="24"/>
      <c r="I201" s="24"/>
      <c r="J201" s="24"/>
      <c r="K201" s="24"/>
      <c r="L201" s="24"/>
      <c r="M201" s="24"/>
      <c r="N201" s="24"/>
      <c r="O201" s="24"/>
    </row>
    <row r="202" spans="2:15">
      <c r="B202" s="14" t="s">
        <v>180</v>
      </c>
      <c r="C202" s="14" t="s">
        <v>183</v>
      </c>
      <c r="D202" s="14"/>
      <c r="E202" s="14"/>
      <c r="F202" s="14"/>
      <c r="G202" s="14"/>
      <c r="H202" s="14"/>
      <c r="I202" s="14"/>
      <c r="J202" s="14"/>
      <c r="K202" s="14"/>
      <c r="L202" s="14"/>
      <c r="M202" s="14"/>
      <c r="N202" s="14"/>
      <c r="O202" s="14"/>
    </row>
    <row r="204" spans="2:15">
      <c r="B204" t="s">
        <v>185</v>
      </c>
    </row>
    <row r="205" spans="2:15">
      <c r="B205" t="s">
        <v>186</v>
      </c>
    </row>
    <row r="207" spans="2:15">
      <c r="B207" t="s">
        <v>187</v>
      </c>
    </row>
    <row r="209" spans="2:8">
      <c r="B209" t="s">
        <v>188</v>
      </c>
    </row>
    <row r="210" spans="2:8">
      <c r="B210" t="s">
        <v>189</v>
      </c>
    </row>
    <row r="212" spans="2:8">
      <c r="B212" s="13" t="s">
        <v>190</v>
      </c>
    </row>
    <row r="213" spans="2:8">
      <c r="B213" t="s">
        <v>191</v>
      </c>
    </row>
    <row r="215" spans="2:8">
      <c r="B215" t="s">
        <v>192</v>
      </c>
    </row>
    <row r="216" spans="2:8">
      <c r="B216" t="s">
        <v>193</v>
      </c>
    </row>
    <row r="217" spans="2:8">
      <c r="B217" t="s">
        <v>194</v>
      </c>
      <c r="H217" t="s">
        <v>195</v>
      </c>
    </row>
    <row r="219" spans="2:8">
      <c r="B219" t="s">
        <v>196</v>
      </c>
    </row>
    <row r="220" spans="2:8">
      <c r="B220" t="s">
        <v>197</v>
      </c>
    </row>
    <row r="222" spans="2:8">
      <c r="B222" t="s">
        <v>198</v>
      </c>
    </row>
    <row r="223" spans="2:8">
      <c r="B223" t="s">
        <v>199</v>
      </c>
    </row>
    <row r="224" spans="2:8">
      <c r="B224" t="s">
        <v>200</v>
      </c>
    </row>
    <row r="225" spans="2:11">
      <c r="B225" t="s">
        <v>422</v>
      </c>
    </row>
    <row r="227" spans="2:11">
      <c r="B227" t="s">
        <v>201</v>
      </c>
    </row>
    <row r="228" spans="2:11">
      <c r="B228" t="s">
        <v>202</v>
      </c>
    </row>
    <row r="229" spans="2:11">
      <c r="B229" t="s">
        <v>203</v>
      </c>
    </row>
    <row r="232" spans="2:11" ht="30">
      <c r="B232" s="22" t="s">
        <v>204</v>
      </c>
      <c r="C232" s="22"/>
      <c r="D232" s="22"/>
      <c r="E232" s="22"/>
      <c r="F232" s="22"/>
      <c r="G232" s="22"/>
      <c r="H232" s="22"/>
      <c r="I232" s="22"/>
      <c r="J232" s="22"/>
      <c r="K232" s="22"/>
    </row>
    <row r="234" spans="2:11">
      <c r="B234" t="s">
        <v>205</v>
      </c>
    </row>
    <row r="235" spans="2:11">
      <c r="B235" t="s">
        <v>206</v>
      </c>
    </row>
    <row r="237" spans="2:11">
      <c r="B237" t="s">
        <v>423</v>
      </c>
    </row>
    <row r="238" spans="2:11">
      <c r="B238" t="s">
        <v>207</v>
      </c>
    </row>
    <row r="239" spans="2:11">
      <c r="B239" t="s">
        <v>208</v>
      </c>
    </row>
    <row r="241" spans="2:8">
      <c r="B241" s="12" t="s">
        <v>209</v>
      </c>
      <c r="C241" s="12"/>
      <c r="D241" s="12"/>
      <c r="E241" s="12"/>
      <c r="F241" s="12"/>
      <c r="G241" s="12"/>
      <c r="H241" s="12"/>
    </row>
    <row r="242" spans="2:8">
      <c r="B242" t="s">
        <v>210</v>
      </c>
    </row>
    <row r="243" spans="2:8">
      <c r="B243" t="s">
        <v>211</v>
      </c>
    </row>
    <row r="245" spans="2:8">
      <c r="B245" t="s">
        <v>212</v>
      </c>
    </row>
    <row r="246" spans="2:8">
      <c r="B246" t="s">
        <v>213</v>
      </c>
    </row>
    <row r="248" spans="2:8">
      <c r="B248" t="s">
        <v>214</v>
      </c>
    </row>
    <row r="249" spans="2:8">
      <c r="B249" t="s">
        <v>215</v>
      </c>
    </row>
    <row r="250" spans="2:8">
      <c r="B250" t="s">
        <v>216</v>
      </c>
    </row>
    <row r="251" spans="2:8">
      <c r="B251" t="s">
        <v>217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report</vt:lpstr>
      <vt:lpstr>financial data</vt:lpstr>
      <vt:lpstr>appendix1. 플랫폼 별 특징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서민석</dc:creator>
  <cp:lastModifiedBy>서민석</cp:lastModifiedBy>
  <dcterms:created xsi:type="dcterms:W3CDTF">2024-04-27T04:47:52Z</dcterms:created>
  <dcterms:modified xsi:type="dcterms:W3CDTF">2024-07-31T09:52:06Z</dcterms:modified>
</cp:coreProperties>
</file>